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40" yWindow="0" windowWidth="17205" windowHeight="13740"/>
  </bookViews>
  <sheets>
    <sheet name="TARIFA DAP 2019" sheetId="1" r:id="rId1"/>
    <sheet name="Formato costos" sheetId="3" r:id="rId2"/>
    <sheet name="USUARIOS CFE AGOSTO 2019" sheetId="6" r:id="rId3"/>
    <sheet name="INPC 2017 VS 2018" sheetId="5" r:id="rId4"/>
    <sheet name="Hoja1" sheetId="7" r:id="rId5"/>
  </sheets>
  <definedNames>
    <definedName name="_xlnm.Print_Area" localSheetId="1">'Formato costos'!$A$1:$P$63</definedName>
    <definedName name="_xlnm.Print_Area" localSheetId="0">'TARIFA DAP 2019'!$F$1:$H$18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7" l="1"/>
  <c r="C23" i="7"/>
  <c r="E21" i="7"/>
  <c r="E20" i="7"/>
  <c r="E19" i="7"/>
  <c r="E18" i="7"/>
  <c r="E17" i="7"/>
  <c r="E16" i="7"/>
  <c r="E15" i="7"/>
  <c r="E14" i="7"/>
  <c r="E13" i="7"/>
  <c r="E12" i="7"/>
  <c r="E11" i="7"/>
  <c r="E10" i="7"/>
  <c r="E23" i="7" s="1"/>
  <c r="G6" i="1" l="1"/>
  <c r="D23" i="3"/>
  <c r="L6" i="3"/>
  <c r="M6" i="3"/>
  <c r="N6" i="3"/>
  <c r="P6" i="3"/>
  <c r="O6" i="3"/>
  <c r="K6" i="3"/>
  <c r="J6" i="3"/>
  <c r="I6" i="3"/>
  <c r="H6" i="3"/>
  <c r="P17" i="3"/>
  <c r="M17" i="3"/>
  <c r="L17" i="3"/>
  <c r="I17" i="3"/>
  <c r="P23" i="3"/>
  <c r="N23" i="3"/>
  <c r="O23" i="3"/>
  <c r="M23" i="3"/>
  <c r="L23" i="3"/>
  <c r="K23" i="3"/>
  <c r="J23" i="3"/>
  <c r="I23" i="3"/>
  <c r="G17" i="3"/>
  <c r="G6" i="3"/>
  <c r="F6" i="3"/>
  <c r="E6" i="3"/>
  <c r="D24" i="3" l="1"/>
  <c r="G9" i="1" l="1"/>
  <c r="R4" i="6"/>
  <c r="F47" i="3" l="1"/>
  <c r="G47" i="3"/>
  <c r="H47" i="3"/>
  <c r="I47" i="3"/>
  <c r="J47" i="3"/>
  <c r="K47" i="3"/>
  <c r="L47" i="3"/>
  <c r="M47" i="3"/>
  <c r="N47" i="3"/>
  <c r="O47" i="3"/>
  <c r="P47" i="3"/>
  <c r="D43" i="3"/>
  <c r="D44" i="3"/>
  <c r="D45" i="3"/>
  <c r="D46" i="3"/>
  <c r="F41" i="3"/>
  <c r="G41" i="3"/>
  <c r="H41" i="3"/>
  <c r="I41" i="3"/>
  <c r="J41" i="3"/>
  <c r="K41" i="3"/>
  <c r="L41" i="3"/>
  <c r="M41" i="3"/>
  <c r="N41" i="3"/>
  <c r="O41" i="3"/>
  <c r="P41" i="3"/>
  <c r="F37" i="3"/>
  <c r="G37" i="3"/>
  <c r="H37" i="3"/>
  <c r="I37" i="3"/>
  <c r="J37" i="3"/>
  <c r="K37" i="3"/>
  <c r="L37" i="3"/>
  <c r="M37" i="3"/>
  <c r="N37" i="3"/>
  <c r="O37" i="3"/>
  <c r="P37" i="3"/>
  <c r="D33" i="3"/>
  <c r="D34" i="3"/>
  <c r="D35" i="3"/>
  <c r="D36" i="3"/>
  <c r="F31" i="3"/>
  <c r="F51" i="3" s="1"/>
  <c r="F55" i="3" s="1"/>
  <c r="G31" i="3"/>
  <c r="H31" i="3"/>
  <c r="I31" i="3"/>
  <c r="J31" i="3"/>
  <c r="K31" i="3"/>
  <c r="L31" i="3"/>
  <c r="M31" i="3"/>
  <c r="N31" i="3"/>
  <c r="O31" i="3"/>
  <c r="P31" i="3"/>
  <c r="D25" i="3"/>
  <c r="D26" i="3"/>
  <c r="D27" i="3"/>
  <c r="D28" i="3"/>
  <c r="D29" i="3"/>
  <c r="D30" i="3"/>
  <c r="F22" i="3"/>
  <c r="G22" i="3"/>
  <c r="H22" i="3"/>
  <c r="I22" i="3"/>
  <c r="J22" i="3"/>
  <c r="K22" i="3"/>
  <c r="L22" i="3"/>
  <c r="M22" i="3"/>
  <c r="N22" i="3"/>
  <c r="O22" i="3"/>
  <c r="P22" i="3"/>
  <c r="D15" i="3"/>
  <c r="D16" i="3"/>
  <c r="D17" i="3"/>
  <c r="D18" i="3"/>
  <c r="D19" i="3"/>
  <c r="D20" i="3"/>
  <c r="D21" i="3"/>
  <c r="D7" i="3"/>
  <c r="D8" i="3"/>
  <c r="D9" i="3"/>
  <c r="D10" i="3"/>
  <c r="D11" i="3"/>
  <c r="D12" i="3"/>
  <c r="F13" i="3"/>
  <c r="G13" i="3"/>
  <c r="H13" i="3"/>
  <c r="I13" i="3"/>
  <c r="J13" i="3"/>
  <c r="K13" i="3"/>
  <c r="L13" i="3"/>
  <c r="M13" i="3"/>
  <c r="N13" i="3"/>
  <c r="O13" i="3"/>
  <c r="P13" i="3"/>
  <c r="E13" i="3"/>
  <c r="D6" i="3"/>
  <c r="D3" i="5"/>
  <c r="D2" i="5"/>
  <c r="E2" i="5"/>
  <c r="K51" i="3" l="1"/>
  <c r="K55" i="3" s="1"/>
  <c r="H51" i="3"/>
  <c r="H55" i="3" s="1"/>
  <c r="N51" i="3"/>
  <c r="N55" i="3" s="1"/>
  <c r="M51" i="3"/>
  <c r="M55" i="3" s="1"/>
  <c r="L51" i="3"/>
  <c r="L55" i="3" s="1"/>
  <c r="O51" i="3"/>
  <c r="O55" i="3" s="1"/>
  <c r="J51" i="3"/>
  <c r="J55" i="3" s="1"/>
  <c r="I51" i="3"/>
  <c r="I55" i="3" s="1"/>
  <c r="P51" i="3"/>
  <c r="P55" i="3" s="1"/>
  <c r="G51" i="3"/>
  <c r="G55" i="3" s="1"/>
  <c r="D13" i="3"/>
  <c r="D53" i="3"/>
  <c r="D49" i="3"/>
  <c r="E37" i="3"/>
  <c r="E31" i="3"/>
  <c r="E22" i="3"/>
  <c r="D60" i="3" l="1"/>
  <c r="G7" i="1" s="1"/>
  <c r="E47" i="3" l="1"/>
  <c r="D42" i="3"/>
  <c r="E41" i="3"/>
  <c r="D40" i="3"/>
  <c r="D39" i="3"/>
  <c r="D38" i="3"/>
  <c r="D32" i="3"/>
  <c r="D14" i="3"/>
  <c r="E51" i="3" l="1"/>
  <c r="D47" i="3"/>
  <c r="D37" i="3"/>
  <c r="D41" i="3"/>
  <c r="D31" i="3"/>
  <c r="D51" i="3" l="1"/>
  <c r="D22" i="3" l="1"/>
  <c r="E55" i="3"/>
  <c r="D55" i="3" s="1"/>
  <c r="D62" i="3" s="1"/>
  <c r="G4" i="1" s="1"/>
  <c r="G8" i="1" s="1"/>
  <c r="G11" i="1" s="1"/>
  <c r="G12" i="1" l="1"/>
  <c r="G13" i="1" l="1"/>
  <c r="H16" i="1" s="1"/>
  <c r="H15" i="1"/>
</calcChain>
</file>

<file path=xl/comments1.xml><?xml version="1.0" encoding="utf-8"?>
<comments xmlns="http://schemas.openxmlformats.org/spreadsheetml/2006/main">
  <authors>
    <author>Alejandro Picón Ramírez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Alejandro Picón Ramírez:</t>
        </r>
        <r>
          <rPr>
            <sz val="9"/>
            <color indexed="81"/>
            <rFont val="Tahoma"/>
            <family val="2"/>
          </rPr>
          <t xml:space="preserve">
información del municipio,predios rusticos o urbanos que no esten registrados ante la CFE.</t>
        </r>
      </text>
    </comment>
  </commentList>
</comments>
</file>

<file path=xl/sharedStrings.xml><?xml version="1.0" encoding="utf-8"?>
<sst xmlns="http://schemas.openxmlformats.org/spreadsheetml/2006/main" count="150" uniqueCount="131">
  <si>
    <t>Gasto Corriente y de Capital</t>
  </si>
  <si>
    <t>TOTAL</t>
  </si>
  <si>
    <t>Factor de actualización INPC</t>
  </si>
  <si>
    <t>Usuarios Proporcionados por CFE</t>
  </si>
  <si>
    <t>Costo global anual actualizado</t>
  </si>
  <si>
    <t>Información del Municipio</t>
  </si>
  <si>
    <t>Nota: renglones en verde no modificar.</t>
  </si>
  <si>
    <t>DERECHO DE ALUMBRADO PÚBLICO</t>
  </si>
  <si>
    <t>COSTO ANUAL GLOBAL  ACTUALIZADO EROGADO PARA LA PRESTACIÓN DEL SERVICIO DE ALUMBRADO PÚBLICO.</t>
  </si>
  <si>
    <t>CAPÍTULO</t>
  </si>
  <si>
    <t>CONCEPTO</t>
  </si>
  <si>
    <t>DESCRIPCIÓN</t>
  </si>
  <si>
    <t>IMPORTE   (SUMA)</t>
  </si>
  <si>
    <t/>
  </si>
  <si>
    <t>Remuneraciones al personal de carácter permanente.</t>
  </si>
  <si>
    <t>SERVICIOS PERSONALES</t>
  </si>
  <si>
    <t>Remuneraciones al personal de carácter transitorio.</t>
  </si>
  <si>
    <t>Remuneraciones adicionales y especiales.</t>
  </si>
  <si>
    <t>Seguridad Social.</t>
  </si>
  <si>
    <t>Otras prestaciones sociales y económicas.</t>
  </si>
  <si>
    <t>Previsiones.</t>
  </si>
  <si>
    <t>Otros</t>
  </si>
  <si>
    <t>Total 1000</t>
  </si>
  <si>
    <t>Materiales de administración, emisión de documentos y artículos oficiales.</t>
  </si>
  <si>
    <t>MATERIALES Y SUMINISTROS</t>
  </si>
  <si>
    <t>Alimentación y utensilios.</t>
  </si>
  <si>
    <t>Materias primas y materiales de producción y comercialización.</t>
  </si>
  <si>
    <t xml:space="preserve"> </t>
  </si>
  <si>
    <t>Materiales y artículos de construcción y reparación.</t>
  </si>
  <si>
    <t>Combustibles, lubricantes y aditivos.</t>
  </si>
  <si>
    <t>Materiales y suministros para seguridad.</t>
  </si>
  <si>
    <t>Herramientas, refacciones y accesorios menores.</t>
  </si>
  <si>
    <t>Total 2000</t>
  </si>
  <si>
    <t>Servicios Básicos.</t>
  </si>
  <si>
    <t>SERVICIOS GENERALES</t>
  </si>
  <si>
    <t>Servicios de Arrendamiento.</t>
  </si>
  <si>
    <t>Servicios profesionales, científicos, técnicos y otros servicios.</t>
  </si>
  <si>
    <t>Servicios Financieros, bancarios y comerciales.</t>
  </si>
  <si>
    <t>Servicios de instalación, reparación, mantenimiento y conservación.</t>
  </si>
  <si>
    <t>Otros servicios generales.</t>
  </si>
  <si>
    <t>Sentencias y Resoluciones Judiciales</t>
  </si>
  <si>
    <t>Total 3000</t>
  </si>
  <si>
    <t>Mobiliario y equipo de administración.</t>
  </si>
  <si>
    <t>BIENES MUEBLES, INMUEBLES E INTANGIBLES</t>
  </si>
  <si>
    <t>Vehículos y equipo de transporte.</t>
  </si>
  <si>
    <t>Maquinaria, otros equipos y herramientas.</t>
  </si>
  <si>
    <t>Activos intangibles.</t>
  </si>
  <si>
    <t>Total 5000</t>
  </si>
  <si>
    <t>Obra pública en bienes de dominio público.</t>
  </si>
  <si>
    <t>INVERSIÓN PÚBLICA</t>
  </si>
  <si>
    <t>Obra pública en bienes propios.</t>
  </si>
  <si>
    <t>Total 6000</t>
  </si>
  <si>
    <t>Intereses de la Deuda Pública</t>
  </si>
  <si>
    <t>DEUDA PÚBLICA</t>
  </si>
  <si>
    <t>Comisiones de la Deuda Pública</t>
  </si>
  <si>
    <t>Gastos de la Deuda Pública</t>
  </si>
  <si>
    <t>Costos por Coberturas</t>
  </si>
  <si>
    <t>Total 9000</t>
  </si>
  <si>
    <t>Otros gastos corrientes y de capital</t>
  </si>
  <si>
    <t>Total de gasto corriente y de capital.</t>
  </si>
  <si>
    <t>PAGOS REALIZADOS A CFE POR ALUMBRADO.</t>
  </si>
  <si>
    <t>TOTAL DE GASTOS</t>
  </si>
  <si>
    <t>Factor INPC</t>
  </si>
  <si>
    <t>TOTAL Considerando actualización</t>
  </si>
  <si>
    <t>Pagos realizados a CFE</t>
  </si>
  <si>
    <t>Predios urbanos y rústicos</t>
  </si>
  <si>
    <t>DAC</t>
  </si>
  <si>
    <t>OM</t>
  </si>
  <si>
    <t>HM</t>
  </si>
  <si>
    <r>
      <t>Mes</t>
    </r>
    <r>
      <rPr>
        <sz val="11"/>
        <color indexed="63"/>
        <rFont val="Arial"/>
        <family val="2"/>
      </rPr>
      <t>​</t>
    </r>
  </si>
  <si>
    <t>Índices (INPC)</t>
  </si>
  <si>
    <t>Fuente: INEGI</t>
  </si>
  <si>
    <t>MUNICIPIO</t>
  </si>
  <si>
    <t>RESIDENCIAL</t>
  </si>
  <si>
    <t>COMERCIAL</t>
  </si>
  <si>
    <t>1A</t>
  </si>
  <si>
    <t>1B</t>
  </si>
  <si>
    <t>HS</t>
  </si>
  <si>
    <t>HSL</t>
  </si>
  <si>
    <t>HT</t>
  </si>
  <si>
    <t>HTL</t>
  </si>
  <si>
    <t>Índice Nacional de Precios 
al Consumidor 2017</t>
  </si>
  <si>
    <t>http://www.beta.inegi.org.mx/app/tabulados/default.aspx?nc=ca55_2018</t>
  </si>
  <si>
    <t>Título</t>
  </si>
  <si>
    <t>Periodo disponible</t>
  </si>
  <si>
    <t>Periodicidad</t>
  </si>
  <si>
    <t>Mensual</t>
  </si>
  <si>
    <t>Cifra</t>
  </si>
  <si>
    <t>Índices</t>
  </si>
  <si>
    <t>Unidad</t>
  </si>
  <si>
    <t>Sin Unidad</t>
  </si>
  <si>
    <t>Base</t>
  </si>
  <si>
    <t>Índice base segunda quincena de julio 2018 = 100</t>
  </si>
  <si>
    <t>Aviso</t>
  </si>
  <si>
    <t>Tipo de información</t>
  </si>
  <si>
    <t xml:space="preserve"> Índice nacional de precios al consumidor. Base segunda quincena de Julio 2018 (mensual), Resumen, Principales índices, Precios al Consumidor (INPC)</t>
  </si>
  <si>
    <t>Ene 1969-Ago 2019</t>
  </si>
  <si>
    <t xml:space="preserve">Las desagregaciones del INPC solo tienen valor informativo.
  </t>
  </si>
  <si>
    <t>Índice Nacional de Precios 
al Consumidor 2018</t>
  </si>
  <si>
    <t>EROGACIONES  MENSUALES DEL MUNICIPIO DE OCT 2018 A SEP 2019</t>
  </si>
  <si>
    <t>H. AYUNTAMIENTO DE  (NOMBRE DEL MUNICIPIO)</t>
  </si>
  <si>
    <t>OCT 18</t>
  </si>
  <si>
    <t>NOV 18</t>
  </si>
  <si>
    <t>DIC 18</t>
  </si>
  <si>
    <t>ENE 19</t>
  </si>
  <si>
    <t>FEB 19</t>
  </si>
  <si>
    <t>MAR 19</t>
  </si>
  <si>
    <t>ABR 19</t>
  </si>
  <si>
    <t>MAY 19</t>
  </si>
  <si>
    <t>JUN 19</t>
  </si>
  <si>
    <t>JUL 19</t>
  </si>
  <si>
    <t>AGO 19</t>
  </si>
  <si>
    <t>SEP 19</t>
  </si>
  <si>
    <t>USUARIOS REPORTADOS POR CFE AL MES DE AGOSTO 2019</t>
  </si>
  <si>
    <t>Tabla para determinar la Tarifa del DAP 
para Iniciativa de Ley de Ingresos 2020 
LHM Art. 228 I.</t>
  </si>
  <si>
    <t>Gastos considerados 
de Octubre 2018 a Septiembre 2019</t>
  </si>
  <si>
    <t>1C</t>
  </si>
  <si>
    <t>Salvatierra</t>
  </si>
  <si>
    <t>Municipio: Salvatierra</t>
  </si>
  <si>
    <t>Tarifa anual</t>
  </si>
  <si>
    <t xml:space="preserve">Tarifa mensual    </t>
  </si>
  <si>
    <t xml:space="preserve">Tarifa bimestral      </t>
  </si>
  <si>
    <t>Factor de Ajuste Tarifario (FAT)</t>
  </si>
  <si>
    <t>Tarifa mensual para Ley de Ingresos 2020</t>
  </si>
  <si>
    <t>Tarifa bimestral para Ley de Ingresos 2020</t>
  </si>
  <si>
    <t>Número de usuarios, fuente: CFE. 
al mes de Agoto 2019</t>
  </si>
  <si>
    <t>FACTURACION</t>
  </si>
  <si>
    <t>RECAUDACION</t>
  </si>
  <si>
    <t>DIFERENCIA</t>
  </si>
  <si>
    <t>Municipiod de Salvatierra</t>
  </si>
  <si>
    <t>Ejercicio 2018 Facturación de CFE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</si>
</sst>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22"/>
      <color theme="0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rgb="FF2F2F2F"/>
      <name val="Arial"/>
      <family val="2"/>
    </font>
    <font>
      <sz val="11"/>
      <color indexed="63"/>
      <name val="Arial"/>
      <family val="2"/>
    </font>
    <font>
      <sz val="11"/>
      <color rgb="FF2F2F2F"/>
      <name val="Arial"/>
      <family val="2"/>
    </font>
    <font>
      <u/>
      <sz val="11"/>
      <color theme="10"/>
      <name val="Calibri"/>
      <family val="2"/>
    </font>
    <font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14"/>
      <color theme="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0F2F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1717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rgb="FF2E9566"/>
      </bottom>
      <diagonal/>
    </border>
    <border>
      <left style="thick">
        <color rgb="FF2E9566"/>
      </left>
      <right/>
      <top style="thick">
        <color rgb="FF2E9566"/>
      </top>
      <bottom/>
      <diagonal/>
    </border>
    <border>
      <left/>
      <right style="thin">
        <color rgb="FF000000"/>
      </right>
      <top style="thick">
        <color rgb="FF2E9566"/>
      </top>
      <bottom/>
      <diagonal/>
    </border>
    <border>
      <left style="thin">
        <color rgb="FF000000"/>
      </left>
      <right/>
      <top style="thick">
        <color rgb="FF2E9566"/>
      </top>
      <bottom style="thin">
        <color rgb="FF000000"/>
      </bottom>
      <diagonal/>
    </border>
    <border>
      <left/>
      <right/>
      <top style="thick">
        <color rgb="FF2E9566"/>
      </top>
      <bottom style="thin">
        <color rgb="FF000000"/>
      </bottom>
      <diagonal/>
    </border>
    <border>
      <left/>
      <right style="thin">
        <color rgb="FF000000"/>
      </right>
      <top style="thick">
        <color rgb="FF2E9566"/>
      </top>
      <bottom style="thin">
        <color rgb="FF000000"/>
      </bottom>
      <diagonal/>
    </border>
    <border>
      <left style="thick">
        <color rgb="FF2E9566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2E956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2E9566"/>
      </right>
      <top style="thick">
        <color rgb="FF2E9566"/>
      </top>
      <bottom/>
      <diagonal/>
    </border>
    <border>
      <left style="thin">
        <color rgb="FF000000"/>
      </left>
      <right style="thick">
        <color rgb="FF2E9566"/>
      </right>
      <top/>
      <bottom style="thin">
        <color rgb="FF000000"/>
      </bottom>
      <diagonal/>
    </border>
    <border>
      <left style="thin">
        <color rgb="FF000000"/>
      </left>
      <right style="thick">
        <color rgb="FF2E9566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0" fontId="0" fillId="2" borderId="0" xfId="0" applyFill="1" applyAlignment="1">
      <alignment vertical="center"/>
    </xf>
    <xf numFmtId="0" fontId="6" fillId="4" borderId="0" xfId="0" applyFont="1" applyFill="1" applyAlignment="1">
      <alignment vertical="center" wrapText="1"/>
    </xf>
    <xf numFmtId="44" fontId="4" fillId="7" borderId="4" xfId="0" applyNumberFormat="1" applyFont="1" applyFill="1" applyBorder="1"/>
    <xf numFmtId="0" fontId="3" fillId="2" borderId="0" xfId="0" applyFont="1" applyFill="1" applyBorder="1" applyAlignment="1">
      <alignment vertical="center" wrapText="1"/>
    </xf>
    <xf numFmtId="0" fontId="0" fillId="0" borderId="0" xfId="0" applyBorder="1"/>
    <xf numFmtId="44" fontId="4" fillId="7" borderId="3" xfId="0" applyNumberFormat="1" applyFont="1" applyFill="1" applyBorder="1"/>
    <xf numFmtId="0" fontId="5" fillId="10" borderId="16" xfId="0" applyFont="1" applyFill="1" applyBorder="1"/>
    <xf numFmtId="0" fontId="5" fillId="10" borderId="18" xfId="0" applyFont="1" applyFill="1" applyBorder="1"/>
    <xf numFmtId="0" fontId="0" fillId="2" borderId="21" xfId="0" applyFill="1" applyBorder="1"/>
    <xf numFmtId="0" fontId="5" fillId="2" borderId="11" xfId="0" applyFont="1" applyFill="1" applyBorder="1"/>
    <xf numFmtId="0" fontId="0" fillId="2" borderId="11" xfId="0" applyFill="1" applyBorder="1"/>
    <xf numFmtId="0" fontId="0" fillId="3" borderId="11" xfId="0" applyFill="1" applyBorder="1"/>
    <xf numFmtId="0" fontId="0" fillId="3" borderId="15" xfId="0" applyFill="1" applyBorder="1"/>
    <xf numFmtId="44" fontId="5" fillId="10" borderId="17" xfId="2" applyFont="1" applyFill="1" applyBorder="1"/>
    <xf numFmtId="44" fontId="5" fillId="10" borderId="19" xfId="2" applyFont="1" applyFill="1" applyBorder="1"/>
    <xf numFmtId="44" fontId="0" fillId="2" borderId="23" xfId="0" applyNumberFormat="1" applyFill="1" applyBorder="1"/>
    <xf numFmtId="0" fontId="0" fillId="9" borderId="18" xfId="0" applyFill="1" applyBorder="1"/>
    <xf numFmtId="0" fontId="0" fillId="9" borderId="21" xfId="0" applyFill="1" applyBorder="1"/>
    <xf numFmtId="0" fontId="13" fillId="6" borderId="25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 wrapText="1"/>
    </xf>
    <xf numFmtId="0" fontId="16" fillId="6" borderId="26" xfId="0" quotePrefix="1" applyFont="1" applyFill="1" applyBorder="1" applyAlignment="1">
      <alignment horizontal="center" vertical="center" wrapText="1"/>
    </xf>
    <xf numFmtId="17" fontId="16" fillId="6" borderId="26" xfId="0" quotePrefix="1" applyNumberFormat="1" applyFont="1" applyFill="1" applyBorder="1" applyAlignment="1">
      <alignment horizontal="center" vertical="center" wrapText="1"/>
    </xf>
    <xf numFmtId="0" fontId="16" fillId="6" borderId="27" xfId="0" quotePrefix="1" applyFont="1" applyFill="1" applyBorder="1" applyAlignment="1">
      <alignment horizontal="center" vertical="center" wrapText="1"/>
    </xf>
    <xf numFmtId="0" fontId="17" fillId="0" borderId="0" xfId="0" quotePrefix="1" applyFont="1"/>
    <xf numFmtId="0" fontId="17" fillId="0" borderId="0" xfId="0" applyFont="1"/>
    <xf numFmtId="0" fontId="1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164" fontId="3" fillId="0" borderId="29" xfId="1" applyNumberFormat="1" applyFont="1" applyBorder="1" applyAlignment="1">
      <alignment horizontal="center" vertical="center"/>
    </xf>
    <xf numFmtId="164" fontId="8" fillId="0" borderId="29" xfId="1" applyNumberFormat="1" applyFont="1" applyBorder="1"/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64" fontId="0" fillId="0" borderId="32" xfId="1" applyNumberFormat="1" applyFont="1" applyBorder="1"/>
    <xf numFmtId="164" fontId="0" fillId="0" borderId="33" xfId="1" applyNumberFormat="1" applyFont="1" applyBorder="1"/>
    <xf numFmtId="164" fontId="8" fillId="0" borderId="32" xfId="1" applyNumberFormat="1" applyFont="1" applyBorder="1"/>
    <xf numFmtId="0" fontId="8" fillId="0" borderId="35" xfId="0" applyFont="1" applyBorder="1" applyAlignment="1">
      <alignment horizontal="center" vertical="center"/>
    </xf>
    <xf numFmtId="164" fontId="3" fillId="0" borderId="36" xfId="1" applyNumberFormat="1" applyFont="1" applyBorder="1" applyAlignment="1">
      <alignment horizontal="center" vertical="center"/>
    </xf>
    <xf numFmtId="164" fontId="0" fillId="0" borderId="37" xfId="1" applyNumberFormat="1" applyFont="1" applyBorder="1"/>
    <xf numFmtId="164" fontId="0" fillId="0" borderId="38" xfId="1" applyNumberFormat="1" applyFont="1" applyBorder="1"/>
    <xf numFmtId="0" fontId="18" fillId="7" borderId="35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vertical="center"/>
    </xf>
    <xf numFmtId="164" fontId="3" fillId="7" borderId="39" xfId="1" applyNumberFormat="1" applyFont="1" applyFill="1" applyBorder="1" applyAlignment="1">
      <alignment horizontal="center" vertical="center"/>
    </xf>
    <xf numFmtId="164" fontId="0" fillId="7" borderId="39" xfId="1" applyNumberFormat="1" applyFont="1" applyFill="1" applyBorder="1"/>
    <xf numFmtId="164" fontId="0" fillId="7" borderId="40" xfId="1" applyNumberFormat="1" applyFont="1" applyFill="1" applyBorder="1"/>
    <xf numFmtId="0" fontId="18" fillId="0" borderId="35" xfId="0" applyFont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0" fontId="0" fillId="0" borderId="32" xfId="0" applyFont="1" applyBorder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164" fontId="20" fillId="0" borderId="32" xfId="1" applyNumberFormat="1" applyFont="1" applyBorder="1"/>
    <xf numFmtId="0" fontId="18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64" fontId="20" fillId="0" borderId="37" xfId="1" applyNumberFormat="1" applyFont="1" applyBorder="1"/>
    <xf numFmtId="0" fontId="18" fillId="7" borderId="28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vertical="center"/>
    </xf>
    <xf numFmtId="0" fontId="18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164" fontId="3" fillId="8" borderId="36" xfId="1" applyNumberFormat="1" applyFont="1" applyFill="1" applyBorder="1" applyAlignment="1">
      <alignment horizontal="center" vertical="center"/>
    </xf>
    <xf numFmtId="164" fontId="0" fillId="0" borderId="36" xfId="1" applyNumberFormat="1" applyFont="1" applyBorder="1"/>
    <xf numFmtId="164" fontId="0" fillId="0" borderId="41" xfId="1" applyNumberFormat="1" applyFont="1" applyBorder="1"/>
    <xf numFmtId="0" fontId="3" fillId="7" borderId="35" xfId="0" applyFont="1" applyFill="1" applyBorder="1" applyAlignment="1">
      <alignment horizontal="left" vertical="center"/>
    </xf>
    <xf numFmtId="0" fontId="9" fillId="0" borderId="32" xfId="0" applyFont="1" applyBorder="1" applyAlignment="1">
      <alignment vertical="center"/>
    </xf>
    <xf numFmtId="0" fontId="0" fillId="0" borderId="32" xfId="0" applyFont="1" applyBorder="1"/>
    <xf numFmtId="0" fontId="3" fillId="0" borderId="32" xfId="0" applyFont="1" applyBorder="1" applyAlignment="1">
      <alignment horizontal="center" vertical="center"/>
    </xf>
    <xf numFmtId="164" fontId="8" fillId="7" borderId="39" xfId="1" applyNumberFormat="1" applyFont="1" applyFill="1" applyBorder="1"/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164" fontId="8" fillId="0" borderId="36" xfId="1" applyNumberFormat="1" applyFont="1" applyBorder="1"/>
    <xf numFmtId="0" fontId="0" fillId="0" borderId="44" xfId="0" applyBorder="1" applyAlignment="1">
      <alignment horizontal="center" vertical="center"/>
    </xf>
    <xf numFmtId="0" fontId="0" fillId="0" borderId="45" xfId="0" applyBorder="1"/>
    <xf numFmtId="0" fontId="3" fillId="0" borderId="32" xfId="0" applyFont="1" applyBorder="1"/>
    <xf numFmtId="0" fontId="0" fillId="0" borderId="9" xfId="0" applyBorder="1" applyAlignment="1">
      <alignment horizontal="center" vertical="center"/>
    </xf>
    <xf numFmtId="0" fontId="0" fillId="0" borderId="46" xfId="0" applyBorder="1"/>
    <xf numFmtId="0" fontId="0" fillId="8" borderId="29" xfId="0" applyFill="1" applyBorder="1"/>
    <xf numFmtId="0" fontId="0" fillId="0" borderId="29" xfId="0" applyBorder="1"/>
    <xf numFmtId="0" fontId="0" fillId="0" borderId="30" xfId="0" applyBorder="1"/>
    <xf numFmtId="0" fontId="0" fillId="8" borderId="32" xfId="0" applyFill="1" applyBorder="1"/>
    <xf numFmtId="0" fontId="0" fillId="0" borderId="32" xfId="0" applyBorder="1"/>
    <xf numFmtId="0" fontId="0" fillId="0" borderId="33" xfId="0" applyBorder="1"/>
    <xf numFmtId="165" fontId="0" fillId="0" borderId="32" xfId="0" applyNumberFormat="1" applyBorder="1"/>
    <xf numFmtId="0" fontId="0" fillId="0" borderId="14" xfId="0" applyBorder="1" applyAlignment="1">
      <alignment horizontal="center" vertical="center"/>
    </xf>
    <xf numFmtId="0" fontId="0" fillId="0" borderId="47" xfId="0" applyBorder="1"/>
    <xf numFmtId="0" fontId="3" fillId="0" borderId="48" xfId="0" applyFont="1" applyBorder="1"/>
    <xf numFmtId="44" fontId="3" fillId="7" borderId="48" xfId="2" applyFont="1" applyFill="1" applyBorder="1"/>
    <xf numFmtId="0" fontId="0" fillId="0" borderId="48" xfId="0" applyBorder="1"/>
    <xf numFmtId="0" fontId="0" fillId="0" borderId="49" xfId="0" applyBorder="1"/>
    <xf numFmtId="0" fontId="0" fillId="0" borderId="50" xfId="0" applyFont="1" applyBorder="1"/>
    <xf numFmtId="0" fontId="0" fillId="0" borderId="50" xfId="0" applyBorder="1"/>
    <xf numFmtId="0" fontId="0" fillId="0" borderId="51" xfId="0" applyBorder="1"/>
    <xf numFmtId="0" fontId="24" fillId="0" borderId="0" xfId="0" applyFont="1" applyFill="1" applyAlignment="1">
      <alignment horizontal="center"/>
    </xf>
    <xf numFmtId="0" fontId="24" fillId="0" borderId="0" xfId="0" applyFont="1"/>
    <xf numFmtId="0" fontId="0" fillId="0" borderId="0" xfId="0" applyFill="1"/>
    <xf numFmtId="0" fontId="25" fillId="13" borderId="16" xfId="0" applyFont="1" applyFill="1" applyBorder="1" applyAlignment="1">
      <alignment horizontal="center" vertical="center" wrapText="1"/>
    </xf>
    <xf numFmtId="0" fontId="25" fillId="13" borderId="5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14" borderId="2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0" fillId="15" borderId="16" xfId="0" applyFill="1" applyBorder="1"/>
    <xf numFmtId="0" fontId="0" fillId="15" borderId="17" xfId="0" applyFill="1" applyBorder="1"/>
    <xf numFmtId="0" fontId="28" fillId="0" borderId="0" xfId="4" applyAlignment="1" applyProtection="1"/>
    <xf numFmtId="0" fontId="27" fillId="0" borderId="0" xfId="0" applyFont="1" applyFill="1" applyBorder="1" applyAlignment="1">
      <alignment horizontal="center" wrapText="1"/>
    </xf>
    <xf numFmtId="165" fontId="10" fillId="9" borderId="23" xfId="0" applyNumberFormat="1" applyFont="1" applyFill="1" applyBorder="1" applyAlignment="1" applyProtection="1">
      <alignment horizontal="right" vertical="center"/>
      <protection hidden="1"/>
    </xf>
    <xf numFmtId="0" fontId="30" fillId="19" borderId="63" xfId="0" applyFont="1" applyFill="1" applyBorder="1" applyAlignment="1">
      <alignment horizontal="right" vertical="center" wrapText="1"/>
    </xf>
    <xf numFmtId="0" fontId="30" fillId="20" borderId="63" xfId="0" applyFont="1" applyFill="1" applyBorder="1" applyAlignment="1">
      <alignment horizontal="center" vertical="center" wrapText="1"/>
    </xf>
    <xf numFmtId="0" fontId="30" fillId="19" borderId="63" xfId="0" applyFont="1" applyFill="1" applyBorder="1" applyAlignment="1">
      <alignment horizontal="center" vertical="center" wrapText="1"/>
    </xf>
    <xf numFmtId="0" fontId="4" fillId="7" borderId="21" xfId="0" applyFont="1" applyFill="1" applyBorder="1"/>
    <xf numFmtId="44" fontId="9" fillId="7" borderId="23" xfId="0" applyNumberFormat="1" applyFont="1" applyFill="1" applyBorder="1"/>
    <xf numFmtId="0" fontId="31" fillId="12" borderId="21" xfId="0" applyFont="1" applyFill="1" applyBorder="1"/>
    <xf numFmtId="3" fontId="31" fillId="12" borderId="23" xfId="0" applyNumberFormat="1" applyFont="1" applyFill="1" applyBorder="1"/>
    <xf numFmtId="0" fontId="31" fillId="12" borderId="11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left"/>
    </xf>
    <xf numFmtId="0" fontId="25" fillId="8" borderId="2" xfId="0" applyFont="1" applyFill="1" applyBorder="1" applyAlignment="1">
      <alignment horizontal="center" wrapText="1"/>
    </xf>
    <xf numFmtId="17" fontId="25" fillId="14" borderId="21" xfId="0" applyNumberFormat="1" applyFont="1" applyFill="1" applyBorder="1" applyAlignment="1">
      <alignment horizontal="left" vertical="center" wrapText="1"/>
    </xf>
    <xf numFmtId="17" fontId="25" fillId="8" borderId="21" xfId="0" applyNumberFormat="1" applyFont="1" applyFill="1" applyBorder="1" applyAlignment="1">
      <alignment horizontal="left" vertical="center" wrapText="1"/>
    </xf>
    <xf numFmtId="44" fontId="5" fillId="9" borderId="22" xfId="0" applyNumberFormat="1" applyFont="1" applyFill="1" applyBorder="1" applyProtection="1"/>
    <xf numFmtId="0" fontId="0" fillId="9" borderId="19" xfId="0" applyFill="1" applyBorder="1" applyProtection="1">
      <protection locked="0"/>
    </xf>
    <xf numFmtId="0" fontId="35" fillId="18" borderId="61" xfId="0" applyFont="1" applyFill="1" applyBorder="1" applyAlignment="1">
      <alignment horizontal="center" vertical="center" wrapText="1"/>
    </xf>
    <xf numFmtId="0" fontId="36" fillId="17" borderId="62" xfId="0" applyFont="1" applyFill="1" applyBorder="1" applyAlignment="1">
      <alignment vertical="center" wrapText="1"/>
    </xf>
    <xf numFmtId="0" fontId="36" fillId="17" borderId="61" xfId="0" applyFont="1" applyFill="1" applyBorder="1" applyAlignment="1">
      <alignment vertical="center" wrapText="1"/>
    </xf>
    <xf numFmtId="3" fontId="36" fillId="17" borderId="61" xfId="0" applyNumberFormat="1" applyFont="1" applyFill="1" applyBorder="1" applyAlignment="1">
      <alignment horizontal="right" vertical="center" wrapText="1"/>
    </xf>
    <xf numFmtId="0" fontId="36" fillId="17" borderId="61" xfId="0" applyFont="1" applyFill="1" applyBorder="1" applyAlignment="1">
      <alignment horizontal="right" vertical="center" wrapText="1"/>
    </xf>
    <xf numFmtId="4" fontId="35" fillId="18" borderId="61" xfId="0" applyNumberFormat="1" applyFont="1" applyFill="1" applyBorder="1" applyAlignment="1">
      <alignment horizontal="right" vertical="center" wrapText="1"/>
    </xf>
    <xf numFmtId="3" fontId="36" fillId="17" borderId="67" xfId="0" applyNumberFormat="1" applyFont="1" applyFill="1" applyBorder="1" applyAlignment="1">
      <alignment horizontal="right" vertical="center" wrapText="1"/>
    </xf>
    <xf numFmtId="0" fontId="0" fillId="9" borderId="11" xfId="0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3" fontId="5" fillId="9" borderId="23" xfId="0" applyNumberFormat="1" applyFont="1" applyFill="1" applyBorder="1" applyAlignment="1" applyProtection="1">
      <alignment horizontal="right" vertical="center"/>
    </xf>
    <xf numFmtId="17" fontId="27" fillId="0" borderId="21" xfId="0" applyNumberFormat="1" applyFont="1" applyBorder="1" applyAlignment="1">
      <alignment horizontal="left" vertical="center" wrapText="1"/>
    </xf>
    <xf numFmtId="4" fontId="0" fillId="0" borderId="0" xfId="0" applyNumberFormat="1"/>
    <xf numFmtId="0" fontId="4" fillId="7" borderId="7" xfId="0" applyFont="1" applyFill="1" applyBorder="1" applyAlignment="1">
      <alignment horizontal="left"/>
    </xf>
    <xf numFmtId="0" fontId="4" fillId="7" borderId="24" xfId="0" applyFont="1" applyFill="1" applyBorder="1" applyAlignment="1">
      <alignment horizontal="left"/>
    </xf>
    <xf numFmtId="0" fontId="15" fillId="11" borderId="8" xfId="0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23" fillId="12" borderId="8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/>
    </xf>
    <xf numFmtId="0" fontId="23" fillId="12" borderId="1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34" fillId="5" borderId="8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29" fillId="16" borderId="53" xfId="0" applyFont="1" applyFill="1" applyBorder="1" applyAlignment="1">
      <alignment horizontal="center" vertical="center" wrapText="1"/>
    </xf>
    <xf numFmtId="0" fontId="35" fillId="18" borderId="54" xfId="0" applyFont="1" applyFill="1" applyBorder="1" applyAlignment="1">
      <alignment horizontal="center" vertical="center" wrapText="1"/>
    </xf>
    <xf numFmtId="0" fontId="35" fillId="18" borderId="55" xfId="0" applyFont="1" applyFill="1" applyBorder="1" applyAlignment="1">
      <alignment horizontal="center" vertical="center" wrapText="1"/>
    </xf>
    <xf numFmtId="0" fontId="35" fillId="18" borderId="59" xfId="0" applyFont="1" applyFill="1" applyBorder="1" applyAlignment="1">
      <alignment horizontal="center" vertical="center" wrapText="1"/>
    </xf>
    <xf numFmtId="0" fontId="35" fillId="18" borderId="60" xfId="0" applyFont="1" applyFill="1" applyBorder="1" applyAlignment="1">
      <alignment horizontal="center" vertical="center" wrapText="1"/>
    </xf>
    <xf numFmtId="0" fontId="35" fillId="18" borderId="56" xfId="0" applyFont="1" applyFill="1" applyBorder="1" applyAlignment="1">
      <alignment horizontal="center" vertical="center" wrapText="1"/>
    </xf>
    <xf numFmtId="0" fontId="35" fillId="18" borderId="57" xfId="0" applyFont="1" applyFill="1" applyBorder="1" applyAlignment="1">
      <alignment horizontal="center" vertical="center" wrapText="1"/>
    </xf>
    <xf numFmtId="0" fontId="35" fillId="18" borderId="58" xfId="0" applyFont="1" applyFill="1" applyBorder="1" applyAlignment="1">
      <alignment horizontal="center" vertical="center" wrapText="1"/>
    </xf>
    <xf numFmtId="0" fontId="35" fillId="18" borderId="65" xfId="0" applyFont="1" applyFill="1" applyBorder="1" applyAlignment="1">
      <alignment horizontal="center" vertical="center" wrapText="1"/>
    </xf>
    <xf numFmtId="0" fontId="35" fillId="18" borderId="66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 wrapText="1"/>
    </xf>
    <xf numFmtId="0" fontId="24" fillId="7" borderId="0" xfId="0" applyFont="1" applyFill="1" applyAlignment="1">
      <alignment horizontal="center"/>
    </xf>
    <xf numFmtId="165" fontId="0" fillId="15" borderId="18" xfId="0" applyNumberFormat="1" applyFill="1" applyBorder="1" applyAlignment="1">
      <alignment horizontal="center" vertical="center"/>
    </xf>
    <xf numFmtId="165" fontId="0" fillId="15" borderId="19" xfId="0" applyNumberFormat="1" applyFill="1" applyBorder="1" applyAlignment="1">
      <alignment horizontal="center" vertical="center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eta.inegi.org.mx/app/tabulados/default.aspx?nc=ca55_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F1:I20"/>
  <sheetViews>
    <sheetView tabSelected="1" view="pageBreakPreview" topLeftCell="E1" zoomScaleNormal="100" zoomScaleSheetLayoutView="100" workbookViewId="0">
      <selection activeCell="G5" sqref="G5"/>
    </sheetView>
  </sheetViews>
  <sheetFormatPr baseColWidth="10" defaultRowHeight="15" x14ac:dyDescent="0.25"/>
  <cols>
    <col min="1" max="4" width="0" hidden="1" customWidth="1"/>
    <col min="6" max="6" width="33" bestFit="1" customWidth="1"/>
    <col min="7" max="7" width="29.140625" customWidth="1"/>
    <col min="8" max="8" width="30.5703125" bestFit="1" customWidth="1"/>
  </cols>
  <sheetData>
    <row r="1" spans="6:9" x14ac:dyDescent="0.25">
      <c r="F1" s="141" t="s">
        <v>118</v>
      </c>
      <c r="G1" s="142"/>
      <c r="H1" s="143"/>
      <c r="I1" s="1"/>
    </row>
    <row r="2" spans="6:9" ht="15.75" thickBot="1" x14ac:dyDescent="0.3">
      <c r="F2" s="144"/>
      <c r="G2" s="145"/>
      <c r="H2" s="146"/>
      <c r="I2" s="1"/>
    </row>
    <row r="3" spans="6:9" ht="68.25" customHeight="1" thickBot="1" x14ac:dyDescent="0.3">
      <c r="F3" s="147" t="s">
        <v>114</v>
      </c>
      <c r="G3" s="148"/>
      <c r="H3" s="149"/>
      <c r="I3" s="2"/>
    </row>
    <row r="4" spans="6:9" ht="18.75" customHeight="1" x14ac:dyDescent="0.3">
      <c r="F4" s="7" t="s">
        <v>0</v>
      </c>
      <c r="G4" s="14">
        <f>+'Formato costos'!D62</f>
        <v>30380012.110158648</v>
      </c>
      <c r="H4" s="150" t="s">
        <v>115</v>
      </c>
    </row>
    <row r="5" spans="6:9" ht="19.5" thickBot="1" x14ac:dyDescent="0.35">
      <c r="F5" s="8" t="s">
        <v>64</v>
      </c>
      <c r="G5" s="15">
        <v>7804803.9400000004</v>
      </c>
      <c r="H5" s="151"/>
    </row>
    <row r="6" spans="6:9" ht="18.75" x14ac:dyDescent="0.3">
      <c r="F6" s="115" t="s">
        <v>1</v>
      </c>
      <c r="G6" s="119">
        <f>G4+G5</f>
        <v>38184816.05015865</v>
      </c>
      <c r="H6" s="10"/>
    </row>
    <row r="7" spans="6:9" ht="16.5" x14ac:dyDescent="0.25">
      <c r="F7" s="18" t="s">
        <v>2</v>
      </c>
      <c r="G7" s="106">
        <f>'Formato costos'!D60</f>
        <v>1.0299751280755471</v>
      </c>
      <c r="H7" s="11"/>
    </row>
    <row r="8" spans="6:9" ht="18.75" x14ac:dyDescent="0.3">
      <c r="F8" s="110" t="s">
        <v>4</v>
      </c>
      <c r="G8" s="111">
        <f>G6*G7</f>
        <v>39329410.801803365</v>
      </c>
      <c r="H8" s="11"/>
    </row>
    <row r="9" spans="6:9" ht="45" x14ac:dyDescent="0.25">
      <c r="F9" s="129" t="s">
        <v>3</v>
      </c>
      <c r="G9" s="130">
        <f>'USUARIOS CFE AGOSTO 2019'!R4</f>
        <v>41400</v>
      </c>
      <c r="H9" s="128" t="s">
        <v>125</v>
      </c>
    </row>
    <row r="10" spans="6:9" ht="18.75" x14ac:dyDescent="0.3">
      <c r="F10" s="112" t="s">
        <v>65</v>
      </c>
      <c r="G10" s="113">
        <v>0</v>
      </c>
      <c r="H10" s="114" t="s">
        <v>5</v>
      </c>
    </row>
    <row r="11" spans="6:9" x14ac:dyDescent="0.25">
      <c r="F11" s="9" t="s">
        <v>119</v>
      </c>
      <c r="G11" s="16">
        <f>G8/(G9+G10)</f>
        <v>949.98576815950162</v>
      </c>
      <c r="H11" s="12"/>
    </row>
    <row r="12" spans="6:9" x14ac:dyDescent="0.25">
      <c r="F12" s="9" t="s">
        <v>120</v>
      </c>
      <c r="G12" s="16">
        <f>G11/12</f>
        <v>79.165480679958463</v>
      </c>
      <c r="H12" s="12"/>
    </row>
    <row r="13" spans="6:9" x14ac:dyDescent="0.25">
      <c r="F13" s="9" t="s">
        <v>121</v>
      </c>
      <c r="G13" s="16">
        <f>G12*2</f>
        <v>158.33096135991693</v>
      </c>
      <c r="H13" s="12"/>
    </row>
    <row r="14" spans="6:9" ht="15.75" thickBot="1" x14ac:dyDescent="0.3">
      <c r="F14" s="17" t="s">
        <v>122</v>
      </c>
      <c r="G14" s="120">
        <v>5.4300000000000001E-2</v>
      </c>
      <c r="H14" s="13"/>
    </row>
    <row r="15" spans="6:9" ht="16.5" thickBot="1" x14ac:dyDescent="0.3">
      <c r="F15" s="133" t="s">
        <v>123</v>
      </c>
      <c r="G15" s="134"/>
      <c r="H15" s="3">
        <f>G12/G14</f>
        <v>1457.9278209937102</v>
      </c>
    </row>
    <row r="16" spans="6:9" ht="16.5" thickBot="1" x14ac:dyDescent="0.3">
      <c r="F16" s="133" t="s">
        <v>124</v>
      </c>
      <c r="G16" s="134"/>
      <c r="H16" s="6">
        <f>G13/G14</f>
        <v>2915.8556419874203</v>
      </c>
    </row>
    <row r="17" spans="6:8" ht="15" customHeight="1" x14ac:dyDescent="0.25">
      <c r="F17" s="135" t="s">
        <v>6</v>
      </c>
      <c r="G17" s="136"/>
      <c r="H17" s="137"/>
    </row>
    <row r="18" spans="6:8" ht="15.75" thickBot="1" x14ac:dyDescent="0.3">
      <c r="F18" s="138"/>
      <c r="G18" s="139"/>
      <c r="H18" s="140"/>
    </row>
    <row r="19" spans="6:8" x14ac:dyDescent="0.25">
      <c r="F19" s="4"/>
      <c r="G19" s="5"/>
    </row>
    <row r="20" spans="6:8" x14ac:dyDescent="0.25">
      <c r="F20" s="4"/>
      <c r="G20" s="5"/>
    </row>
  </sheetData>
  <mergeCells count="6">
    <mergeCell ref="F15:G15"/>
    <mergeCell ref="F16:G16"/>
    <mergeCell ref="F17:H18"/>
    <mergeCell ref="F1:H2"/>
    <mergeCell ref="F3:H3"/>
    <mergeCell ref="H4:H5"/>
  </mergeCells>
  <pageMargins left="0.7" right="0.7" top="0.75" bottom="0.75" header="0.3" footer="0.3"/>
  <pageSetup scale="88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showGridLines="0" topLeftCell="A29" zoomScale="70" zoomScaleNormal="70" workbookViewId="0">
      <selection activeCell="D23" sqref="D23"/>
    </sheetView>
  </sheetViews>
  <sheetFormatPr baseColWidth="10" defaultRowHeight="15" x14ac:dyDescent="0.25"/>
  <cols>
    <col min="1" max="1" width="16.7109375" customWidth="1"/>
    <col min="2" max="2" width="11" customWidth="1"/>
    <col min="3" max="3" width="56.5703125" customWidth="1"/>
    <col min="4" max="4" width="22.7109375" bestFit="1" customWidth="1"/>
    <col min="5" max="5" width="16.5703125" customWidth="1"/>
    <col min="6" max="6" width="16" customWidth="1"/>
    <col min="7" max="7" width="16.140625" customWidth="1"/>
    <col min="8" max="8" width="12.7109375" customWidth="1"/>
    <col min="9" max="9" width="15.28515625" customWidth="1"/>
    <col min="10" max="10" width="15.140625" customWidth="1"/>
    <col min="11" max="12" width="12.7109375" customWidth="1"/>
    <col min="13" max="13" width="14.140625" customWidth="1"/>
    <col min="14" max="14" width="13.5703125" customWidth="1"/>
    <col min="15" max="15" width="12.7109375" customWidth="1"/>
    <col min="16" max="16" width="16.140625" customWidth="1"/>
  </cols>
  <sheetData>
    <row r="1" spans="1:32" ht="64.5" customHeight="1" x14ac:dyDescent="0.25">
      <c r="A1" s="152" t="s">
        <v>100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4"/>
    </row>
    <row r="2" spans="1:32" ht="18" customHeight="1" x14ac:dyDescent="0.25">
      <c r="A2" s="163" t="s">
        <v>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</row>
    <row r="3" spans="1:32" ht="27" customHeight="1" thickBot="1" x14ac:dyDescent="0.3">
      <c r="A3" s="166" t="s">
        <v>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</row>
    <row r="4" spans="1:32" ht="26.25" x14ac:dyDescent="0.4">
      <c r="A4" s="169" t="s">
        <v>99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</row>
    <row r="5" spans="1:32" ht="36" customHeight="1" thickBot="1" x14ac:dyDescent="0.3">
      <c r="A5" s="19" t="s">
        <v>9</v>
      </c>
      <c r="B5" s="20" t="s">
        <v>10</v>
      </c>
      <c r="C5" s="21" t="s">
        <v>11</v>
      </c>
      <c r="D5" s="21" t="s">
        <v>12</v>
      </c>
      <c r="E5" s="22" t="s">
        <v>101</v>
      </c>
      <c r="F5" s="22" t="s">
        <v>102</v>
      </c>
      <c r="G5" s="22" t="s">
        <v>103</v>
      </c>
      <c r="H5" s="23" t="s">
        <v>104</v>
      </c>
      <c r="I5" s="22" t="s">
        <v>105</v>
      </c>
      <c r="J5" s="22" t="s">
        <v>106</v>
      </c>
      <c r="K5" s="22" t="s">
        <v>107</v>
      </c>
      <c r="L5" s="22" t="s">
        <v>108</v>
      </c>
      <c r="M5" s="22" t="s">
        <v>109</v>
      </c>
      <c r="N5" s="22" t="s">
        <v>110</v>
      </c>
      <c r="O5" s="22" t="s">
        <v>111</v>
      </c>
      <c r="P5" s="24" t="s">
        <v>112</v>
      </c>
      <c r="Q5" s="25" t="s">
        <v>13</v>
      </c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15.75" thickTop="1" x14ac:dyDescent="0.25">
      <c r="A6" s="27">
        <v>1000</v>
      </c>
      <c r="B6" s="28">
        <v>1100</v>
      </c>
      <c r="C6" s="29" t="s">
        <v>14</v>
      </c>
      <c r="D6" s="30">
        <f>SUM(E6:P6)</f>
        <v>437517.46</v>
      </c>
      <c r="E6" s="31">
        <f>27338.74+17990.67</f>
        <v>45329.41</v>
      </c>
      <c r="F6" s="31">
        <f>17990.67+17990.67</f>
        <v>35981.339999999997</v>
      </c>
      <c r="G6" s="31">
        <f>17990.67+17990.67</f>
        <v>35981.339999999997</v>
      </c>
      <c r="H6" s="31">
        <f>17990.67+17990.67</f>
        <v>35981.339999999997</v>
      </c>
      <c r="I6" s="31">
        <f>17990.67+17990.67</f>
        <v>35981.339999999997</v>
      </c>
      <c r="J6" s="31">
        <f>17990.67+17990.67</f>
        <v>35981.339999999997</v>
      </c>
      <c r="K6" s="31">
        <f>15558.16+14959.75</f>
        <v>30517.91</v>
      </c>
      <c r="L6" s="31">
        <f>15558.16+15558.16+4188.74</f>
        <v>35305.06</v>
      </c>
      <c r="M6" s="31">
        <f>15558.16+18638.66</f>
        <v>34196.82</v>
      </c>
      <c r="N6" s="31">
        <f>18710.26+18710.26</f>
        <v>37420.519999999997</v>
      </c>
      <c r="O6" s="31">
        <f>18710.26+18710.26</f>
        <v>37420.519999999997</v>
      </c>
      <c r="P6" s="31">
        <f>18710.26+18710.26</f>
        <v>37420.519999999997</v>
      </c>
    </row>
    <row r="7" spans="1:32" ht="24" customHeight="1" x14ac:dyDescent="0.25">
      <c r="A7" s="155" t="s">
        <v>15</v>
      </c>
      <c r="B7" s="32">
        <v>1200</v>
      </c>
      <c r="C7" s="33" t="s">
        <v>16</v>
      </c>
      <c r="D7" s="30">
        <f t="shared" ref="D7:D12" si="0">SUM(E7:P7)</f>
        <v>0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</row>
    <row r="8" spans="1:32" x14ac:dyDescent="0.25">
      <c r="A8" s="156"/>
      <c r="B8" s="32">
        <v>1300</v>
      </c>
      <c r="C8" s="33" t="s">
        <v>17</v>
      </c>
      <c r="D8" s="30">
        <f t="shared" si="0"/>
        <v>78056.460000000006</v>
      </c>
      <c r="E8" s="34"/>
      <c r="F8" s="34"/>
      <c r="G8" s="36">
        <v>70945.740000000005</v>
      </c>
      <c r="H8" s="34"/>
      <c r="I8" s="34"/>
      <c r="J8" s="36"/>
      <c r="K8" s="34"/>
      <c r="L8" s="34"/>
      <c r="M8" s="36"/>
      <c r="N8" s="34">
        <v>7110.72</v>
      </c>
      <c r="O8" s="34"/>
      <c r="P8" s="35"/>
    </row>
    <row r="9" spans="1:32" x14ac:dyDescent="0.25">
      <c r="A9" s="156"/>
      <c r="B9" s="32">
        <v>1400</v>
      </c>
      <c r="C9" s="33" t="s">
        <v>18</v>
      </c>
      <c r="D9" s="30">
        <f t="shared" si="0"/>
        <v>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</row>
    <row r="10" spans="1:32" ht="14.25" customHeight="1" x14ac:dyDescent="0.25">
      <c r="A10" s="157"/>
      <c r="B10" s="32">
        <v>1500</v>
      </c>
      <c r="C10" s="33" t="s">
        <v>19</v>
      </c>
      <c r="D10" s="30">
        <f t="shared" si="0"/>
        <v>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4"/>
      <c r="P10" s="35"/>
    </row>
    <row r="11" spans="1:32" x14ac:dyDescent="0.25">
      <c r="A11" s="37"/>
      <c r="B11" s="32"/>
      <c r="C11" s="33" t="s">
        <v>20</v>
      </c>
      <c r="D11" s="30">
        <f t="shared" si="0"/>
        <v>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</row>
    <row r="12" spans="1:32" x14ac:dyDescent="0.25">
      <c r="A12" s="37"/>
      <c r="B12" s="32"/>
      <c r="C12" s="33" t="s">
        <v>21</v>
      </c>
      <c r="D12" s="30">
        <f t="shared" si="0"/>
        <v>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</row>
    <row r="13" spans="1:32" ht="15.75" thickBot="1" x14ac:dyDescent="0.3">
      <c r="A13" s="41" t="s">
        <v>22</v>
      </c>
      <c r="B13" s="42"/>
      <c r="C13" s="43"/>
      <c r="D13" s="44">
        <f>SUM(E13:P13)</f>
        <v>515573.92</v>
      </c>
      <c r="E13" s="45">
        <f>+SUM(E6:E12)</f>
        <v>45329.41</v>
      </c>
      <c r="F13" s="45">
        <f t="shared" ref="F13:P13" si="1">+SUM(F6:F12)</f>
        <v>35981.339999999997</v>
      </c>
      <c r="G13" s="45">
        <f t="shared" si="1"/>
        <v>106927.08</v>
      </c>
      <c r="H13" s="45">
        <f t="shared" si="1"/>
        <v>35981.339999999997</v>
      </c>
      <c r="I13" s="45">
        <f t="shared" si="1"/>
        <v>35981.339999999997</v>
      </c>
      <c r="J13" s="45">
        <f t="shared" si="1"/>
        <v>35981.339999999997</v>
      </c>
      <c r="K13" s="45">
        <f t="shared" si="1"/>
        <v>30517.91</v>
      </c>
      <c r="L13" s="45">
        <f t="shared" si="1"/>
        <v>35305.06</v>
      </c>
      <c r="M13" s="45">
        <f t="shared" si="1"/>
        <v>34196.82</v>
      </c>
      <c r="N13" s="45">
        <f t="shared" si="1"/>
        <v>44531.24</v>
      </c>
      <c r="O13" s="45">
        <f t="shared" si="1"/>
        <v>37420.519999999997</v>
      </c>
      <c r="P13" s="45">
        <f t="shared" si="1"/>
        <v>37420.519999999997</v>
      </c>
    </row>
    <row r="14" spans="1:32" ht="30.75" thickTop="1" x14ac:dyDescent="0.25">
      <c r="A14" s="47">
        <v>2000</v>
      </c>
      <c r="B14" s="32">
        <v>2100</v>
      </c>
      <c r="C14" s="48" t="s">
        <v>23</v>
      </c>
      <c r="D14" s="30">
        <f t="shared" ref="D14:D30" si="2">SUM(E14:P14)</f>
        <v>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1:32" ht="24" customHeight="1" x14ac:dyDescent="0.25">
      <c r="A15" s="155" t="s">
        <v>24</v>
      </c>
      <c r="B15" s="32">
        <v>2200</v>
      </c>
      <c r="C15" s="33" t="s">
        <v>25</v>
      </c>
      <c r="D15" s="30">
        <f t="shared" si="2"/>
        <v>0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32" ht="25.5" customHeight="1" x14ac:dyDescent="0.25">
      <c r="A16" s="156"/>
      <c r="B16" s="32">
        <v>2300</v>
      </c>
      <c r="C16" s="48" t="s">
        <v>26</v>
      </c>
      <c r="D16" s="30">
        <f t="shared" si="2"/>
        <v>0</v>
      </c>
      <c r="E16" s="34"/>
      <c r="F16" s="34"/>
      <c r="G16" s="34" t="s">
        <v>27</v>
      </c>
      <c r="H16" s="34"/>
      <c r="I16" s="34"/>
      <c r="J16" s="34"/>
      <c r="K16" s="34"/>
      <c r="L16" s="34"/>
      <c r="M16" s="34"/>
      <c r="N16" s="34"/>
      <c r="O16" s="34"/>
      <c r="P16" s="35"/>
    </row>
    <row r="17" spans="1:16" x14ac:dyDescent="0.25">
      <c r="A17" s="156"/>
      <c r="B17" s="32">
        <v>2400</v>
      </c>
      <c r="C17" s="33" t="s">
        <v>28</v>
      </c>
      <c r="D17" s="30">
        <f t="shared" si="2"/>
        <v>1415735.7999999998</v>
      </c>
      <c r="E17" s="34"/>
      <c r="F17" s="34"/>
      <c r="G17" s="36">
        <f>9759.08+587885.66</f>
        <v>597644.74</v>
      </c>
      <c r="H17" s="34"/>
      <c r="I17" s="34">
        <f>40929.9+89822.86+1352</f>
        <v>132104.76</v>
      </c>
      <c r="J17" s="34"/>
      <c r="K17" s="34"/>
      <c r="L17" s="34">
        <f>62458.46</f>
        <v>62458.46</v>
      </c>
      <c r="M17" s="34">
        <f>89637.84</f>
        <v>89637.84</v>
      </c>
      <c r="N17" s="34">
        <v>42204.28</v>
      </c>
      <c r="O17" s="34">
        <v>43036</v>
      </c>
      <c r="P17" s="35">
        <f>141508.4+307141.32</f>
        <v>448649.72</v>
      </c>
    </row>
    <row r="18" spans="1:16" x14ac:dyDescent="0.25">
      <c r="A18" s="156"/>
      <c r="B18" s="32">
        <v>2600</v>
      </c>
      <c r="C18" s="33" t="s">
        <v>29</v>
      </c>
      <c r="D18" s="30">
        <f t="shared" si="2"/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</row>
    <row r="19" spans="1:16" x14ac:dyDescent="0.25">
      <c r="A19" s="156"/>
      <c r="B19" s="32">
        <v>2800</v>
      </c>
      <c r="C19" s="33" t="s">
        <v>30</v>
      </c>
      <c r="D19" s="30">
        <f t="shared" si="2"/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x14ac:dyDescent="0.25">
      <c r="A20" s="157"/>
      <c r="B20" s="32">
        <v>2900</v>
      </c>
      <c r="C20" s="33" t="s">
        <v>31</v>
      </c>
      <c r="D20" s="30">
        <f t="shared" si="2"/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x14ac:dyDescent="0.25">
      <c r="A21" s="37"/>
      <c r="B21" s="32"/>
      <c r="C21" s="33" t="s">
        <v>21</v>
      </c>
      <c r="D21" s="30">
        <f t="shared" si="2"/>
        <v>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</row>
    <row r="22" spans="1:16" ht="15.75" thickBot="1" x14ac:dyDescent="0.3">
      <c r="A22" s="41" t="s">
        <v>32</v>
      </c>
      <c r="B22" s="42"/>
      <c r="C22" s="43"/>
      <c r="D22" s="44">
        <f>SUM(E22:P22)</f>
        <v>1415735.7999999998</v>
      </c>
      <c r="E22" s="45">
        <f>SUM(E14:E21)</f>
        <v>0</v>
      </c>
      <c r="F22" s="45">
        <f t="shared" ref="F22:P22" si="3">SUM(F14:F21)</f>
        <v>0</v>
      </c>
      <c r="G22" s="45">
        <f t="shared" si="3"/>
        <v>597644.74</v>
      </c>
      <c r="H22" s="45">
        <f t="shared" si="3"/>
        <v>0</v>
      </c>
      <c r="I22" s="45">
        <f t="shared" si="3"/>
        <v>132104.76</v>
      </c>
      <c r="J22" s="45">
        <f t="shared" si="3"/>
        <v>0</v>
      </c>
      <c r="K22" s="45">
        <f t="shared" si="3"/>
        <v>0</v>
      </c>
      <c r="L22" s="45">
        <f t="shared" si="3"/>
        <v>62458.46</v>
      </c>
      <c r="M22" s="45">
        <f t="shared" si="3"/>
        <v>89637.84</v>
      </c>
      <c r="N22" s="45">
        <f t="shared" si="3"/>
        <v>42204.28</v>
      </c>
      <c r="O22" s="45">
        <f t="shared" si="3"/>
        <v>43036</v>
      </c>
      <c r="P22" s="45">
        <f t="shared" si="3"/>
        <v>448649.72</v>
      </c>
    </row>
    <row r="23" spans="1:16" ht="15.75" thickTop="1" x14ac:dyDescent="0.25">
      <c r="A23" s="47">
        <v>3000</v>
      </c>
      <c r="B23" s="32">
        <v>3100</v>
      </c>
      <c r="C23" s="49" t="s">
        <v>33</v>
      </c>
      <c r="D23" s="30">
        <f t="shared" si="2"/>
        <v>17715337.340000004</v>
      </c>
      <c r="E23" s="36">
        <v>1870647.32</v>
      </c>
      <c r="F23" s="34">
        <v>1870647.32</v>
      </c>
      <c r="G23" s="34">
        <v>1870647.32</v>
      </c>
      <c r="H23" s="36">
        <v>1211049.55</v>
      </c>
      <c r="I23" s="36">
        <f>48354.5+29470.91+1357760.85</f>
        <v>1435586.26</v>
      </c>
      <c r="J23" s="36">
        <f>1122947.97+32058.58</f>
        <v>1155006.55</v>
      </c>
      <c r="K23" s="36">
        <f>1425391.78+27515.17</f>
        <v>1452906.95</v>
      </c>
      <c r="L23" s="36">
        <f>1171847.2+26111.76</f>
        <v>1197958.96</v>
      </c>
      <c r="M23" s="36">
        <f>27174.44+1442707.65</f>
        <v>1469882.0899999999</v>
      </c>
      <c r="N23">
        <f>1189434.16+39090.55</f>
        <v>1228524.71</v>
      </c>
      <c r="O23" s="34">
        <f>1620334.47+28189.33</f>
        <v>1648523.8</v>
      </c>
      <c r="P23" s="35">
        <f>1233133.54+30411.85+40411.12</f>
        <v>1303956.5100000002</v>
      </c>
    </row>
    <row r="24" spans="1:16" ht="24" customHeight="1" x14ac:dyDescent="0.25">
      <c r="A24" s="155" t="s">
        <v>34</v>
      </c>
      <c r="B24" s="32">
        <v>3200</v>
      </c>
      <c r="C24" s="33" t="s">
        <v>35</v>
      </c>
      <c r="D24" s="30">
        <f t="shared" si="2"/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</row>
    <row r="25" spans="1:16" x14ac:dyDescent="0.25">
      <c r="A25" s="156"/>
      <c r="B25" s="32">
        <v>3300</v>
      </c>
      <c r="C25" s="33" t="s">
        <v>36</v>
      </c>
      <c r="D25" s="30">
        <f t="shared" si="2"/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</row>
    <row r="26" spans="1:16" x14ac:dyDescent="0.25">
      <c r="A26" s="156"/>
      <c r="B26" s="32">
        <v>3400</v>
      </c>
      <c r="C26" s="33" t="s">
        <v>37</v>
      </c>
      <c r="D26" s="30">
        <f t="shared" si="2"/>
        <v>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</row>
    <row r="27" spans="1:16" ht="30" x14ac:dyDescent="0.25">
      <c r="A27" s="156"/>
      <c r="B27" s="32">
        <v>3500</v>
      </c>
      <c r="C27" s="48" t="s">
        <v>38</v>
      </c>
      <c r="D27" s="30">
        <f t="shared" si="2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</row>
    <row r="28" spans="1:16" x14ac:dyDescent="0.25">
      <c r="A28" s="156"/>
      <c r="B28" s="50">
        <v>3900</v>
      </c>
      <c r="C28" s="51" t="s">
        <v>39</v>
      </c>
      <c r="D28" s="30">
        <f t="shared" si="2"/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</row>
    <row r="29" spans="1:16" x14ac:dyDescent="0.25">
      <c r="A29" s="157"/>
      <c r="B29" s="50">
        <v>3940</v>
      </c>
      <c r="C29" s="51" t="s">
        <v>40</v>
      </c>
      <c r="D29" s="30">
        <f t="shared" si="2"/>
        <v>0</v>
      </c>
      <c r="E29" s="34"/>
      <c r="F29" s="34"/>
      <c r="G29" s="34"/>
      <c r="H29" s="52"/>
      <c r="I29" s="52"/>
      <c r="J29" s="52"/>
      <c r="K29" s="34"/>
      <c r="L29" s="52"/>
      <c r="M29" s="52"/>
      <c r="N29" s="52"/>
      <c r="O29" s="34"/>
      <c r="P29" s="35"/>
    </row>
    <row r="30" spans="1:16" x14ac:dyDescent="0.25">
      <c r="A30" s="53"/>
      <c r="B30" s="54"/>
      <c r="C30" s="51" t="s">
        <v>21</v>
      </c>
      <c r="D30" s="30">
        <f t="shared" si="2"/>
        <v>0</v>
      </c>
      <c r="E30" s="39"/>
      <c r="F30" s="39"/>
      <c r="G30" s="39"/>
      <c r="H30" s="55"/>
      <c r="I30" s="55"/>
      <c r="J30" s="55"/>
      <c r="K30" s="39"/>
      <c r="L30" s="55"/>
      <c r="M30" s="55"/>
      <c r="N30" s="55"/>
      <c r="O30" s="39"/>
      <c r="P30" s="40"/>
    </row>
    <row r="31" spans="1:16" ht="15.75" thickBot="1" x14ac:dyDescent="0.3">
      <c r="A31" s="56" t="s">
        <v>41</v>
      </c>
      <c r="B31" s="57"/>
      <c r="C31" s="58"/>
      <c r="D31" s="44">
        <f>SUM(E31:P31)</f>
        <v>17715337.340000004</v>
      </c>
      <c r="E31" s="45">
        <f>SUM(E23:E30)</f>
        <v>1870647.32</v>
      </c>
      <c r="F31" s="45">
        <f t="shared" ref="F31:P31" si="4">SUM(F23:F30)</f>
        <v>1870647.32</v>
      </c>
      <c r="G31" s="45">
        <f t="shared" si="4"/>
        <v>1870647.32</v>
      </c>
      <c r="H31" s="45">
        <f t="shared" si="4"/>
        <v>1211049.55</v>
      </c>
      <c r="I31" s="45">
        <f t="shared" si="4"/>
        <v>1435586.26</v>
      </c>
      <c r="J31" s="45">
        <f t="shared" si="4"/>
        <v>1155006.55</v>
      </c>
      <c r="K31" s="45">
        <f t="shared" si="4"/>
        <v>1452906.95</v>
      </c>
      <c r="L31" s="45">
        <f t="shared" si="4"/>
        <v>1197958.96</v>
      </c>
      <c r="M31" s="45">
        <f t="shared" si="4"/>
        <v>1469882.0899999999</v>
      </c>
      <c r="N31" s="45">
        <f t="shared" si="4"/>
        <v>1228524.71</v>
      </c>
      <c r="O31" s="45">
        <f>SUM(O23:O30)</f>
        <v>1648523.8</v>
      </c>
      <c r="P31" s="45">
        <f t="shared" si="4"/>
        <v>1303956.5100000002</v>
      </c>
    </row>
    <row r="32" spans="1:16" ht="15.75" thickTop="1" x14ac:dyDescent="0.25">
      <c r="A32" s="47">
        <v>5000</v>
      </c>
      <c r="B32" s="32">
        <v>5100</v>
      </c>
      <c r="C32" s="33" t="s">
        <v>42</v>
      </c>
      <c r="D32" s="30">
        <f t="shared" ref="D32:D39" si="5">SUM(E32:P32)</f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33.75" customHeight="1" x14ac:dyDescent="0.25">
      <c r="A33" s="158" t="s">
        <v>43</v>
      </c>
      <c r="B33" s="32">
        <v>5400</v>
      </c>
      <c r="C33" s="33" t="s">
        <v>44</v>
      </c>
      <c r="D33" s="30">
        <f t="shared" si="5"/>
        <v>0</v>
      </c>
      <c r="E33" s="34" t="s">
        <v>27</v>
      </c>
      <c r="F33" s="34"/>
      <c r="G33" s="34"/>
      <c r="H33" s="34"/>
      <c r="I33" s="34"/>
      <c r="J33" s="34"/>
      <c r="K33" s="34"/>
      <c r="L33" s="34"/>
      <c r="M33" s="34" t="s">
        <v>27</v>
      </c>
      <c r="N33" s="34"/>
      <c r="O33" s="34"/>
      <c r="P33" s="35"/>
    </row>
    <row r="34" spans="1:16" x14ac:dyDescent="0.25">
      <c r="A34" s="159"/>
      <c r="B34" s="32">
        <v>5600</v>
      </c>
      <c r="C34" s="33" t="s">
        <v>45</v>
      </c>
      <c r="D34" s="30">
        <f t="shared" si="5"/>
        <v>0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x14ac:dyDescent="0.25">
      <c r="A35" s="160"/>
      <c r="B35" s="32">
        <v>5900</v>
      </c>
      <c r="C35" s="33" t="s">
        <v>46</v>
      </c>
      <c r="D35" s="30">
        <f t="shared" si="5"/>
        <v>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</row>
    <row r="36" spans="1:16" x14ac:dyDescent="0.25">
      <c r="A36" s="47"/>
      <c r="B36" s="32"/>
      <c r="C36" s="33" t="s">
        <v>21</v>
      </c>
      <c r="D36" s="30">
        <f t="shared" si="5"/>
        <v>0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40"/>
    </row>
    <row r="37" spans="1:16" ht="15.75" thickBot="1" x14ac:dyDescent="0.3">
      <c r="A37" s="41" t="s">
        <v>47</v>
      </c>
      <c r="B37" s="42"/>
      <c r="C37" s="43"/>
      <c r="D37" s="44">
        <f>SUM(E37:P37)</f>
        <v>0</v>
      </c>
      <c r="E37" s="45">
        <f>SUM(E32:E36)</f>
        <v>0</v>
      </c>
      <c r="F37" s="45">
        <f t="shared" ref="F37:P37" si="6">SUM(F32:F36)</f>
        <v>0</v>
      </c>
      <c r="G37" s="45">
        <f t="shared" si="6"/>
        <v>0</v>
      </c>
      <c r="H37" s="45">
        <f t="shared" si="6"/>
        <v>0</v>
      </c>
      <c r="I37" s="45">
        <f t="shared" si="6"/>
        <v>0</v>
      </c>
      <c r="J37" s="45">
        <f t="shared" si="6"/>
        <v>0</v>
      </c>
      <c r="K37" s="45">
        <f t="shared" si="6"/>
        <v>0</v>
      </c>
      <c r="L37" s="45">
        <f t="shared" si="6"/>
        <v>0</v>
      </c>
      <c r="M37" s="45">
        <f t="shared" si="6"/>
        <v>0</v>
      </c>
      <c r="N37" s="45">
        <f t="shared" si="6"/>
        <v>0</v>
      </c>
      <c r="O37" s="45">
        <f t="shared" si="6"/>
        <v>0</v>
      </c>
      <c r="P37" s="45">
        <f t="shared" si="6"/>
        <v>0</v>
      </c>
    </row>
    <row r="38" spans="1:16" ht="15.75" thickTop="1" x14ac:dyDescent="0.25">
      <c r="A38" s="47">
        <v>6000</v>
      </c>
      <c r="B38" s="32">
        <v>6100</v>
      </c>
      <c r="C38" s="33" t="s">
        <v>48</v>
      </c>
      <c r="D38" s="30">
        <f t="shared" si="5"/>
        <v>9849222.5800000001</v>
      </c>
      <c r="E38" s="34"/>
      <c r="F38" s="34"/>
      <c r="G38" s="34">
        <v>2352485.58</v>
      </c>
      <c r="H38" s="34"/>
      <c r="I38" s="34">
        <v>1804708</v>
      </c>
      <c r="J38" s="34">
        <v>5692029</v>
      </c>
      <c r="K38" s="34"/>
      <c r="L38" s="34"/>
      <c r="M38" s="34"/>
      <c r="N38" s="34"/>
      <c r="O38" s="34"/>
      <c r="P38" s="35"/>
    </row>
    <row r="39" spans="1:16" ht="22.5" customHeight="1" x14ac:dyDescent="0.25">
      <c r="A39" s="59" t="s">
        <v>49</v>
      </c>
      <c r="B39" s="32">
        <v>6200</v>
      </c>
      <c r="C39" s="49" t="s">
        <v>50</v>
      </c>
      <c r="D39" s="30">
        <f t="shared" si="5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/>
    </row>
    <row r="40" spans="1:16" x14ac:dyDescent="0.25">
      <c r="A40" s="59"/>
      <c r="B40" s="32"/>
      <c r="C40" s="49" t="s">
        <v>21</v>
      </c>
      <c r="D40" s="38">
        <f>SUM(E40:P40)</f>
        <v>0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/>
    </row>
    <row r="41" spans="1:16" ht="15.75" thickBot="1" x14ac:dyDescent="0.3">
      <c r="A41" s="41" t="s">
        <v>51</v>
      </c>
      <c r="B41" s="42"/>
      <c r="C41" s="43"/>
      <c r="D41" s="44">
        <f>SUM(E41:P41)</f>
        <v>9849222.5800000001</v>
      </c>
      <c r="E41" s="45">
        <f>SUM(E38:E40)</f>
        <v>0</v>
      </c>
      <c r="F41" s="45">
        <f t="shared" ref="F41:P41" si="7">SUM(F38:F40)</f>
        <v>0</v>
      </c>
      <c r="G41" s="45">
        <f t="shared" si="7"/>
        <v>2352485.58</v>
      </c>
      <c r="H41" s="45">
        <f t="shared" si="7"/>
        <v>0</v>
      </c>
      <c r="I41" s="45">
        <f t="shared" si="7"/>
        <v>1804708</v>
      </c>
      <c r="J41" s="45">
        <f t="shared" si="7"/>
        <v>5692029</v>
      </c>
      <c r="K41" s="45">
        <f t="shared" si="7"/>
        <v>0</v>
      </c>
      <c r="L41" s="45">
        <f t="shared" si="7"/>
        <v>0</v>
      </c>
      <c r="M41" s="45">
        <f t="shared" si="7"/>
        <v>0</v>
      </c>
      <c r="N41" s="45">
        <f t="shared" si="7"/>
        <v>0</v>
      </c>
      <c r="O41" s="45">
        <f t="shared" si="7"/>
        <v>0</v>
      </c>
      <c r="P41" s="45">
        <f t="shared" si="7"/>
        <v>0</v>
      </c>
    </row>
    <row r="42" spans="1:16" ht="15.75" thickTop="1" x14ac:dyDescent="0.25">
      <c r="A42" s="47">
        <v>9000</v>
      </c>
      <c r="B42" s="32">
        <v>9200</v>
      </c>
      <c r="C42" s="33" t="s">
        <v>52</v>
      </c>
      <c r="D42" s="30">
        <f t="shared" ref="D42:D46" si="8">SUM(E42:P42)</f>
        <v>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/>
    </row>
    <row r="43" spans="1:16" ht="33.75" customHeight="1" x14ac:dyDescent="0.25">
      <c r="A43" s="59" t="s">
        <v>53</v>
      </c>
      <c r="B43" s="32">
        <v>9300</v>
      </c>
      <c r="C43" s="33" t="s">
        <v>54</v>
      </c>
      <c r="D43" s="30">
        <f t="shared" si="8"/>
        <v>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</row>
    <row r="44" spans="1:16" x14ac:dyDescent="0.25">
      <c r="A44" s="37"/>
      <c r="B44" s="32">
        <v>9400</v>
      </c>
      <c r="C44" s="33" t="s">
        <v>55</v>
      </c>
      <c r="D44" s="30">
        <f t="shared" si="8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</row>
    <row r="45" spans="1:16" x14ac:dyDescent="0.25">
      <c r="A45" s="37"/>
      <c r="B45" s="32">
        <v>9500</v>
      </c>
      <c r="C45" s="33" t="s">
        <v>56</v>
      </c>
      <c r="D45" s="30">
        <f t="shared" si="8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5"/>
    </row>
    <row r="46" spans="1:16" x14ac:dyDescent="0.25">
      <c r="A46" s="60"/>
      <c r="B46" s="32"/>
      <c r="C46" s="33" t="s">
        <v>21</v>
      </c>
      <c r="D46" s="30">
        <f t="shared" si="8"/>
        <v>0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0"/>
    </row>
    <row r="47" spans="1:16" ht="15.75" thickBot="1" x14ac:dyDescent="0.3">
      <c r="A47" s="61" t="s">
        <v>57</v>
      </c>
      <c r="B47" s="42"/>
      <c r="C47" s="43"/>
      <c r="D47" s="44">
        <f>SUM(E47:P47)</f>
        <v>0</v>
      </c>
      <c r="E47" s="45">
        <f>SUM(E42:E46)</f>
        <v>0</v>
      </c>
      <c r="F47" s="45">
        <f t="shared" ref="F47:P47" si="9">SUM(F42:F46)</f>
        <v>0</v>
      </c>
      <c r="G47" s="45">
        <f t="shared" si="9"/>
        <v>0</v>
      </c>
      <c r="H47" s="45">
        <f t="shared" si="9"/>
        <v>0</v>
      </c>
      <c r="I47" s="45">
        <f t="shared" si="9"/>
        <v>0</v>
      </c>
      <c r="J47" s="45">
        <f t="shared" si="9"/>
        <v>0</v>
      </c>
      <c r="K47" s="45">
        <f t="shared" si="9"/>
        <v>0</v>
      </c>
      <c r="L47" s="45">
        <f t="shared" si="9"/>
        <v>0</v>
      </c>
      <c r="M47" s="45">
        <f t="shared" si="9"/>
        <v>0</v>
      </c>
      <c r="N47" s="45">
        <f t="shared" si="9"/>
        <v>0</v>
      </c>
      <c r="O47" s="45">
        <f t="shared" si="9"/>
        <v>0</v>
      </c>
      <c r="P47" s="45">
        <f t="shared" si="9"/>
        <v>0</v>
      </c>
    </row>
    <row r="48" spans="1:16" ht="15.75" thickTop="1" x14ac:dyDescent="0.25">
      <c r="A48" s="60"/>
      <c r="B48" s="32"/>
      <c r="C48" s="33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4"/>
    </row>
    <row r="49" spans="1:16" ht="15.75" thickBot="1" x14ac:dyDescent="0.3">
      <c r="A49" s="65" t="s">
        <v>58</v>
      </c>
      <c r="B49" s="42"/>
      <c r="C49" s="43"/>
      <c r="D49" s="44">
        <f>SUM(E49:P49)</f>
        <v>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6"/>
    </row>
    <row r="50" spans="1:16" ht="15.75" thickTop="1" x14ac:dyDescent="0.25">
      <c r="A50" s="60"/>
      <c r="B50" s="32"/>
      <c r="C50" s="33"/>
      <c r="D50" s="38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4"/>
    </row>
    <row r="51" spans="1:16" ht="19.5" thickBot="1" x14ac:dyDescent="0.3">
      <c r="A51" s="60"/>
      <c r="B51" s="32"/>
      <c r="C51" s="66" t="s">
        <v>59</v>
      </c>
      <c r="D51" s="44">
        <f>SUM(E51:P51)</f>
        <v>29495869.640000004</v>
      </c>
      <c r="E51" s="45">
        <f>+E13+E22+E31+E37+E41+E47+E49</f>
        <v>1915976.73</v>
      </c>
      <c r="F51" s="45">
        <f t="shared" ref="F51:P51" si="10">+F13+F22+F31+F37+F41+F47+F49</f>
        <v>1906628.6600000001</v>
      </c>
      <c r="G51" s="45">
        <f t="shared" si="10"/>
        <v>4927704.7200000007</v>
      </c>
      <c r="H51" s="45">
        <f t="shared" si="10"/>
        <v>1247030.8900000001</v>
      </c>
      <c r="I51" s="45">
        <f t="shared" si="10"/>
        <v>3408380.3600000003</v>
      </c>
      <c r="J51" s="45">
        <f t="shared" si="10"/>
        <v>6883016.8900000006</v>
      </c>
      <c r="K51" s="45">
        <f t="shared" si="10"/>
        <v>1483424.8599999999</v>
      </c>
      <c r="L51" s="45">
        <f t="shared" si="10"/>
        <v>1295722.48</v>
      </c>
      <c r="M51" s="45">
        <f t="shared" si="10"/>
        <v>1593716.7499999998</v>
      </c>
      <c r="N51" s="45">
        <f t="shared" si="10"/>
        <v>1315260.23</v>
      </c>
      <c r="O51" s="45">
        <f t="shared" si="10"/>
        <v>1728980.32</v>
      </c>
      <c r="P51" s="45">
        <f t="shared" si="10"/>
        <v>1790026.7500000002</v>
      </c>
    </row>
    <row r="52" spans="1:16" ht="15.75" thickTop="1" x14ac:dyDescent="0.25">
      <c r="A52" s="60"/>
      <c r="B52" s="67"/>
      <c r="C52" s="33"/>
      <c r="D52" s="38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4"/>
    </row>
    <row r="53" spans="1:16" ht="33.75" customHeight="1" thickBot="1" x14ac:dyDescent="0.3">
      <c r="A53" s="161" t="s">
        <v>27</v>
      </c>
      <c r="B53" s="162"/>
      <c r="C53" s="68" t="s">
        <v>60</v>
      </c>
      <c r="D53" s="44">
        <f>SUM(E53:P53)</f>
        <v>0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45"/>
      <c r="P53" s="46"/>
    </row>
    <row r="54" spans="1:16" ht="13.5" customHeight="1" thickTop="1" x14ac:dyDescent="0.25">
      <c r="A54" s="70"/>
      <c r="B54" s="71"/>
      <c r="C54" s="68"/>
      <c r="D54" s="38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63"/>
      <c r="P54" s="64"/>
    </row>
    <row r="55" spans="1:16" ht="15.75" thickBot="1" x14ac:dyDescent="0.3">
      <c r="A55" s="73"/>
      <c r="B55" s="74"/>
      <c r="C55" s="75" t="s">
        <v>61</v>
      </c>
      <c r="D55" s="44">
        <f>SUM(E55:P55)</f>
        <v>29495869.640000004</v>
      </c>
      <c r="E55" s="45">
        <f>+E53+E51</f>
        <v>1915976.73</v>
      </c>
      <c r="F55" s="45">
        <f t="shared" ref="F55:P55" si="11">+F53+F51</f>
        <v>1906628.6600000001</v>
      </c>
      <c r="G55" s="45">
        <f t="shared" si="11"/>
        <v>4927704.7200000007</v>
      </c>
      <c r="H55" s="45">
        <f t="shared" si="11"/>
        <v>1247030.8900000001</v>
      </c>
      <c r="I55" s="45">
        <f t="shared" si="11"/>
        <v>3408380.3600000003</v>
      </c>
      <c r="J55" s="45">
        <f t="shared" si="11"/>
        <v>6883016.8900000006</v>
      </c>
      <c r="K55" s="45">
        <f t="shared" si="11"/>
        <v>1483424.8599999999</v>
      </c>
      <c r="L55" s="45">
        <f t="shared" si="11"/>
        <v>1295722.48</v>
      </c>
      <c r="M55" s="45">
        <f t="shared" si="11"/>
        <v>1593716.7499999998</v>
      </c>
      <c r="N55" s="45">
        <f t="shared" si="11"/>
        <v>1315260.23</v>
      </c>
      <c r="O55" s="45">
        <f t="shared" si="11"/>
        <v>1728980.32</v>
      </c>
      <c r="P55" s="45">
        <f t="shared" si="11"/>
        <v>1790026.7500000002</v>
      </c>
    </row>
    <row r="56" spans="1:16" ht="15.75" thickTop="1" x14ac:dyDescent="0.25">
      <c r="A56" s="76"/>
      <c r="B56" s="77"/>
      <c r="C56" s="67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80"/>
    </row>
    <row r="57" spans="1:16" x14ac:dyDescent="0.25">
      <c r="A57" s="76"/>
      <c r="B57" s="77"/>
      <c r="C57" s="131">
        <v>43344</v>
      </c>
      <c r="D57" s="81">
        <v>100.917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3"/>
    </row>
    <row r="58" spans="1:16" x14ac:dyDescent="0.25">
      <c r="A58" s="76"/>
      <c r="B58" s="77"/>
      <c r="C58" s="131">
        <v>43709</v>
      </c>
      <c r="D58" s="81">
        <v>103.94199999999999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3"/>
    </row>
    <row r="59" spans="1:16" x14ac:dyDescent="0.25">
      <c r="A59" s="76"/>
      <c r="B59" s="77"/>
      <c r="C59" s="67"/>
      <c r="D59" s="84" t="s">
        <v>27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3"/>
    </row>
    <row r="60" spans="1:16" x14ac:dyDescent="0.25">
      <c r="A60" s="76"/>
      <c r="B60" s="77"/>
      <c r="C60" s="75" t="s">
        <v>62</v>
      </c>
      <c r="D60" s="84">
        <f>D58/D57</f>
        <v>1.0299751280755471</v>
      </c>
      <c r="E60" s="84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3"/>
    </row>
    <row r="61" spans="1:16" ht="9.75" customHeight="1" x14ac:dyDescent="0.25">
      <c r="A61" s="76"/>
      <c r="B61" s="77"/>
      <c r="C61" s="67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3"/>
    </row>
    <row r="62" spans="1:16" ht="15.75" thickBot="1" x14ac:dyDescent="0.3">
      <c r="A62" s="85"/>
      <c r="B62" s="86"/>
      <c r="C62" s="87" t="s">
        <v>63</v>
      </c>
      <c r="D62" s="88">
        <f>+D60*D55</f>
        <v>30380012.110158648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90"/>
    </row>
    <row r="63" spans="1:16" ht="9" customHeight="1" thickBot="1" x14ac:dyDescent="0.3">
      <c r="A63" s="85"/>
      <c r="B63" s="86"/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3"/>
    </row>
  </sheetData>
  <mergeCells count="9">
    <mergeCell ref="A1:P1"/>
    <mergeCell ref="A24:A29"/>
    <mergeCell ref="A33:A35"/>
    <mergeCell ref="A53:B53"/>
    <mergeCell ref="A7:A10"/>
    <mergeCell ref="A15:A20"/>
    <mergeCell ref="A2:P2"/>
    <mergeCell ref="A3:P3"/>
    <mergeCell ref="A4:P4"/>
  </mergeCells>
  <printOptions horizontalCentered="1" verticalCentered="1"/>
  <pageMargins left="0" right="0" top="0" bottom="0" header="0" footer="0"/>
  <pageSetup scale="5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>
      <selection activeCell="R4" sqref="R4"/>
    </sheetView>
  </sheetViews>
  <sheetFormatPr baseColWidth="10" defaultRowHeight="15" x14ac:dyDescent="0.25"/>
  <cols>
    <col min="1" max="1" width="2.5703125" bestFit="1" customWidth="1"/>
    <col min="2" max="2" width="9.5703125" bestFit="1" customWidth="1"/>
    <col min="3" max="3" width="8.28515625" bestFit="1" customWidth="1"/>
    <col min="4" max="4" width="4.140625" bestFit="1" customWidth="1"/>
    <col min="5" max="5" width="4.28515625" bestFit="1" customWidth="1"/>
    <col min="6" max="6" width="6.28515625" bestFit="1" customWidth="1"/>
    <col min="8" max="8" width="13.42578125" customWidth="1"/>
    <col min="9" max="9" width="5.140625" customWidth="1"/>
    <col min="10" max="11" width="5.140625" bestFit="1" customWidth="1"/>
    <col min="12" max="12" width="7" bestFit="1" customWidth="1"/>
    <col min="13" max="13" width="4.5703125" bestFit="1" customWidth="1"/>
    <col min="14" max="14" width="6" bestFit="1" customWidth="1"/>
    <col min="15" max="15" width="4.42578125" bestFit="1" customWidth="1"/>
    <col min="16" max="16" width="5.85546875" bestFit="1" customWidth="1"/>
    <col min="17" max="17" width="8.140625" bestFit="1" customWidth="1"/>
    <col min="18" max="18" width="10.140625" bestFit="1" customWidth="1"/>
  </cols>
  <sheetData>
    <row r="1" spans="1:18" ht="16.5" customHeight="1" thickBot="1" x14ac:dyDescent="0.3">
      <c r="A1" s="172" t="s">
        <v>113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15.75" thickTop="1" x14ac:dyDescent="0.25">
      <c r="A2" s="173" t="s">
        <v>72</v>
      </c>
      <c r="B2" s="174"/>
      <c r="C2" s="177" t="s">
        <v>73</v>
      </c>
      <c r="D2" s="178"/>
      <c r="E2" s="178"/>
      <c r="F2" s="178"/>
      <c r="G2" s="178"/>
      <c r="H2" s="179"/>
      <c r="I2" s="177" t="s">
        <v>74</v>
      </c>
      <c r="J2" s="178"/>
      <c r="K2" s="178"/>
      <c r="L2" s="178"/>
      <c r="M2" s="178"/>
      <c r="N2" s="178"/>
      <c r="O2" s="178"/>
      <c r="P2" s="178"/>
      <c r="Q2" s="179"/>
      <c r="R2" s="180" t="s">
        <v>1</v>
      </c>
    </row>
    <row r="3" spans="1:18" x14ac:dyDescent="0.25">
      <c r="A3" s="175"/>
      <c r="B3" s="176"/>
      <c r="C3" s="121">
        <v>1</v>
      </c>
      <c r="D3" s="121" t="s">
        <v>75</v>
      </c>
      <c r="E3" s="121" t="s">
        <v>76</v>
      </c>
      <c r="F3" s="121" t="s">
        <v>116</v>
      </c>
      <c r="G3" s="121" t="s">
        <v>66</v>
      </c>
      <c r="H3" s="121" t="s">
        <v>1</v>
      </c>
      <c r="I3" s="121">
        <v>2</v>
      </c>
      <c r="J3" s="121">
        <v>3</v>
      </c>
      <c r="K3" s="121" t="s">
        <v>67</v>
      </c>
      <c r="L3" s="121" t="s">
        <v>68</v>
      </c>
      <c r="M3" s="121" t="s">
        <v>77</v>
      </c>
      <c r="N3" s="121" t="s">
        <v>78</v>
      </c>
      <c r="O3" s="121" t="s">
        <v>79</v>
      </c>
      <c r="P3" s="121" t="s">
        <v>80</v>
      </c>
      <c r="Q3" s="121" t="s">
        <v>1</v>
      </c>
      <c r="R3" s="181"/>
    </row>
    <row r="4" spans="1:18" x14ac:dyDescent="0.25">
      <c r="A4" s="122">
        <v>28</v>
      </c>
      <c r="B4" s="123" t="s">
        <v>117</v>
      </c>
      <c r="C4" s="124">
        <v>37188</v>
      </c>
      <c r="D4" s="125">
        <v>0</v>
      </c>
      <c r="E4" s="125">
        <v>0</v>
      </c>
      <c r="F4" s="125">
        <v>0</v>
      </c>
      <c r="G4" s="125">
        <v>204</v>
      </c>
      <c r="H4" s="126">
        <v>37392</v>
      </c>
      <c r="I4" s="124">
        <v>3856</v>
      </c>
      <c r="J4" s="125">
        <v>0</v>
      </c>
      <c r="K4" s="125">
        <v>128</v>
      </c>
      <c r="L4" s="125">
        <v>24</v>
      </c>
      <c r="M4" s="125">
        <v>0</v>
      </c>
      <c r="N4" s="125">
        <v>0</v>
      </c>
      <c r="O4" s="125">
        <v>0</v>
      </c>
      <c r="P4" s="125">
        <v>0</v>
      </c>
      <c r="Q4" s="126">
        <v>4008</v>
      </c>
      <c r="R4" s="127">
        <f t="shared" ref="R4" si="0">H4+Q4</f>
        <v>41400</v>
      </c>
    </row>
  </sheetData>
  <mergeCells count="5">
    <mergeCell ref="A1:R1"/>
    <mergeCell ref="A2:B3"/>
    <mergeCell ref="C2:H2"/>
    <mergeCell ref="I2:Q2"/>
    <mergeCell ref="R2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7" workbookViewId="0">
      <selection activeCell="H34" sqref="H34"/>
    </sheetView>
  </sheetViews>
  <sheetFormatPr baseColWidth="10" defaultRowHeight="15" x14ac:dyDescent="0.25"/>
  <cols>
    <col min="1" max="1" width="22.5703125" customWidth="1"/>
    <col min="2" max="2" width="23.85546875" customWidth="1"/>
    <col min="3" max="3" width="4.28515625" customWidth="1"/>
    <col min="4" max="5" width="8" bestFit="1" customWidth="1"/>
    <col min="6" max="6" width="3.85546875" customWidth="1"/>
    <col min="7" max="7" width="15.28515625" bestFit="1" customWidth="1"/>
    <col min="8" max="8" width="25" bestFit="1" customWidth="1"/>
    <col min="12" max="12" width="11.42578125" customWidth="1"/>
    <col min="255" max="255" width="22.5703125" customWidth="1"/>
    <col min="256" max="256" width="23.85546875" customWidth="1"/>
    <col min="257" max="257" width="37.7109375" customWidth="1"/>
    <col min="258" max="258" width="4.28515625" customWidth="1"/>
    <col min="259" max="260" width="8" bestFit="1" customWidth="1"/>
    <col min="261" max="261" width="3.85546875" customWidth="1"/>
    <col min="262" max="262" width="15.28515625" bestFit="1" customWidth="1"/>
    <col min="263" max="263" width="25" bestFit="1" customWidth="1"/>
    <col min="264" max="264" width="31.28515625" bestFit="1" customWidth="1"/>
    <col min="268" max="268" width="11.42578125" customWidth="1"/>
    <col min="511" max="511" width="22.5703125" customWidth="1"/>
    <col min="512" max="512" width="23.85546875" customWidth="1"/>
    <col min="513" max="513" width="37.7109375" customWidth="1"/>
    <col min="514" max="514" width="4.28515625" customWidth="1"/>
    <col min="515" max="516" width="8" bestFit="1" customWidth="1"/>
    <col min="517" max="517" width="3.85546875" customWidth="1"/>
    <col min="518" max="518" width="15.28515625" bestFit="1" customWidth="1"/>
    <col min="519" max="519" width="25" bestFit="1" customWidth="1"/>
    <col min="520" max="520" width="31.28515625" bestFit="1" customWidth="1"/>
    <col min="524" max="524" width="11.42578125" customWidth="1"/>
    <col min="767" max="767" width="22.5703125" customWidth="1"/>
    <col min="768" max="768" width="23.85546875" customWidth="1"/>
    <col min="769" max="769" width="37.7109375" customWidth="1"/>
    <col min="770" max="770" width="4.28515625" customWidth="1"/>
    <col min="771" max="772" width="8" bestFit="1" customWidth="1"/>
    <col min="773" max="773" width="3.85546875" customWidth="1"/>
    <col min="774" max="774" width="15.28515625" bestFit="1" customWidth="1"/>
    <col min="775" max="775" width="25" bestFit="1" customWidth="1"/>
    <col min="776" max="776" width="31.28515625" bestFit="1" customWidth="1"/>
    <col min="780" max="780" width="11.42578125" customWidth="1"/>
    <col min="1023" max="1023" width="22.5703125" customWidth="1"/>
    <col min="1024" max="1024" width="23.85546875" customWidth="1"/>
    <col min="1025" max="1025" width="37.7109375" customWidth="1"/>
    <col min="1026" max="1026" width="4.28515625" customWidth="1"/>
    <col min="1027" max="1028" width="8" bestFit="1" customWidth="1"/>
    <col min="1029" max="1029" width="3.85546875" customWidth="1"/>
    <col min="1030" max="1030" width="15.28515625" bestFit="1" customWidth="1"/>
    <col min="1031" max="1031" width="25" bestFit="1" customWidth="1"/>
    <col min="1032" max="1032" width="31.28515625" bestFit="1" customWidth="1"/>
    <col min="1036" max="1036" width="11.42578125" customWidth="1"/>
    <col min="1279" max="1279" width="22.5703125" customWidth="1"/>
    <col min="1280" max="1280" width="23.85546875" customWidth="1"/>
    <col min="1281" max="1281" width="37.7109375" customWidth="1"/>
    <col min="1282" max="1282" width="4.28515625" customWidth="1"/>
    <col min="1283" max="1284" width="8" bestFit="1" customWidth="1"/>
    <col min="1285" max="1285" width="3.85546875" customWidth="1"/>
    <col min="1286" max="1286" width="15.28515625" bestFit="1" customWidth="1"/>
    <col min="1287" max="1287" width="25" bestFit="1" customWidth="1"/>
    <col min="1288" max="1288" width="31.28515625" bestFit="1" customWidth="1"/>
    <col min="1292" max="1292" width="11.42578125" customWidth="1"/>
    <col min="1535" max="1535" width="22.5703125" customWidth="1"/>
    <col min="1536" max="1536" width="23.85546875" customWidth="1"/>
    <col min="1537" max="1537" width="37.7109375" customWidth="1"/>
    <col min="1538" max="1538" width="4.28515625" customWidth="1"/>
    <col min="1539" max="1540" width="8" bestFit="1" customWidth="1"/>
    <col min="1541" max="1541" width="3.85546875" customWidth="1"/>
    <col min="1542" max="1542" width="15.28515625" bestFit="1" customWidth="1"/>
    <col min="1543" max="1543" width="25" bestFit="1" customWidth="1"/>
    <col min="1544" max="1544" width="31.28515625" bestFit="1" customWidth="1"/>
    <col min="1548" max="1548" width="11.42578125" customWidth="1"/>
    <col min="1791" max="1791" width="22.5703125" customWidth="1"/>
    <col min="1792" max="1792" width="23.85546875" customWidth="1"/>
    <col min="1793" max="1793" width="37.7109375" customWidth="1"/>
    <col min="1794" max="1794" width="4.28515625" customWidth="1"/>
    <col min="1795" max="1796" width="8" bestFit="1" customWidth="1"/>
    <col min="1797" max="1797" width="3.85546875" customWidth="1"/>
    <col min="1798" max="1798" width="15.28515625" bestFit="1" customWidth="1"/>
    <col min="1799" max="1799" width="25" bestFit="1" customWidth="1"/>
    <col min="1800" max="1800" width="31.28515625" bestFit="1" customWidth="1"/>
    <col min="1804" max="1804" width="11.42578125" customWidth="1"/>
    <col min="2047" max="2047" width="22.5703125" customWidth="1"/>
    <col min="2048" max="2048" width="23.85546875" customWidth="1"/>
    <col min="2049" max="2049" width="37.7109375" customWidth="1"/>
    <col min="2050" max="2050" width="4.28515625" customWidth="1"/>
    <col min="2051" max="2052" width="8" bestFit="1" customWidth="1"/>
    <col min="2053" max="2053" width="3.85546875" customWidth="1"/>
    <col min="2054" max="2054" width="15.28515625" bestFit="1" customWidth="1"/>
    <col min="2055" max="2055" width="25" bestFit="1" customWidth="1"/>
    <col min="2056" max="2056" width="31.28515625" bestFit="1" customWidth="1"/>
    <col min="2060" max="2060" width="11.42578125" customWidth="1"/>
    <col min="2303" max="2303" width="22.5703125" customWidth="1"/>
    <col min="2304" max="2304" width="23.85546875" customWidth="1"/>
    <col min="2305" max="2305" width="37.7109375" customWidth="1"/>
    <col min="2306" max="2306" width="4.28515625" customWidth="1"/>
    <col min="2307" max="2308" width="8" bestFit="1" customWidth="1"/>
    <col min="2309" max="2309" width="3.85546875" customWidth="1"/>
    <col min="2310" max="2310" width="15.28515625" bestFit="1" customWidth="1"/>
    <col min="2311" max="2311" width="25" bestFit="1" customWidth="1"/>
    <col min="2312" max="2312" width="31.28515625" bestFit="1" customWidth="1"/>
    <col min="2316" max="2316" width="11.42578125" customWidth="1"/>
    <col min="2559" max="2559" width="22.5703125" customWidth="1"/>
    <col min="2560" max="2560" width="23.85546875" customWidth="1"/>
    <col min="2561" max="2561" width="37.7109375" customWidth="1"/>
    <col min="2562" max="2562" width="4.28515625" customWidth="1"/>
    <col min="2563" max="2564" width="8" bestFit="1" customWidth="1"/>
    <col min="2565" max="2565" width="3.85546875" customWidth="1"/>
    <col min="2566" max="2566" width="15.28515625" bestFit="1" customWidth="1"/>
    <col min="2567" max="2567" width="25" bestFit="1" customWidth="1"/>
    <col min="2568" max="2568" width="31.28515625" bestFit="1" customWidth="1"/>
    <col min="2572" max="2572" width="11.42578125" customWidth="1"/>
    <col min="2815" max="2815" width="22.5703125" customWidth="1"/>
    <col min="2816" max="2816" width="23.85546875" customWidth="1"/>
    <col min="2817" max="2817" width="37.7109375" customWidth="1"/>
    <col min="2818" max="2818" width="4.28515625" customWidth="1"/>
    <col min="2819" max="2820" width="8" bestFit="1" customWidth="1"/>
    <col min="2821" max="2821" width="3.85546875" customWidth="1"/>
    <col min="2822" max="2822" width="15.28515625" bestFit="1" customWidth="1"/>
    <col min="2823" max="2823" width="25" bestFit="1" customWidth="1"/>
    <col min="2824" max="2824" width="31.28515625" bestFit="1" customWidth="1"/>
    <col min="2828" max="2828" width="11.42578125" customWidth="1"/>
    <col min="3071" max="3071" width="22.5703125" customWidth="1"/>
    <col min="3072" max="3072" width="23.85546875" customWidth="1"/>
    <col min="3073" max="3073" width="37.7109375" customWidth="1"/>
    <col min="3074" max="3074" width="4.28515625" customWidth="1"/>
    <col min="3075" max="3076" width="8" bestFit="1" customWidth="1"/>
    <col min="3077" max="3077" width="3.85546875" customWidth="1"/>
    <col min="3078" max="3078" width="15.28515625" bestFit="1" customWidth="1"/>
    <col min="3079" max="3079" width="25" bestFit="1" customWidth="1"/>
    <col min="3080" max="3080" width="31.28515625" bestFit="1" customWidth="1"/>
    <col min="3084" max="3084" width="11.42578125" customWidth="1"/>
    <col min="3327" max="3327" width="22.5703125" customWidth="1"/>
    <col min="3328" max="3328" width="23.85546875" customWidth="1"/>
    <col min="3329" max="3329" width="37.7109375" customWidth="1"/>
    <col min="3330" max="3330" width="4.28515625" customWidth="1"/>
    <col min="3331" max="3332" width="8" bestFit="1" customWidth="1"/>
    <col min="3333" max="3333" width="3.85546875" customWidth="1"/>
    <col min="3334" max="3334" width="15.28515625" bestFit="1" customWidth="1"/>
    <col min="3335" max="3335" width="25" bestFit="1" customWidth="1"/>
    <col min="3336" max="3336" width="31.28515625" bestFit="1" customWidth="1"/>
    <col min="3340" max="3340" width="11.42578125" customWidth="1"/>
    <col min="3583" max="3583" width="22.5703125" customWidth="1"/>
    <col min="3584" max="3584" width="23.85546875" customWidth="1"/>
    <col min="3585" max="3585" width="37.7109375" customWidth="1"/>
    <col min="3586" max="3586" width="4.28515625" customWidth="1"/>
    <col min="3587" max="3588" width="8" bestFit="1" customWidth="1"/>
    <col min="3589" max="3589" width="3.85546875" customWidth="1"/>
    <col min="3590" max="3590" width="15.28515625" bestFit="1" customWidth="1"/>
    <col min="3591" max="3591" width="25" bestFit="1" customWidth="1"/>
    <col min="3592" max="3592" width="31.28515625" bestFit="1" customWidth="1"/>
    <col min="3596" max="3596" width="11.42578125" customWidth="1"/>
    <col min="3839" max="3839" width="22.5703125" customWidth="1"/>
    <col min="3840" max="3840" width="23.85546875" customWidth="1"/>
    <col min="3841" max="3841" width="37.7109375" customWidth="1"/>
    <col min="3842" max="3842" width="4.28515625" customWidth="1"/>
    <col min="3843" max="3844" width="8" bestFit="1" customWidth="1"/>
    <col min="3845" max="3845" width="3.85546875" customWidth="1"/>
    <col min="3846" max="3846" width="15.28515625" bestFit="1" customWidth="1"/>
    <col min="3847" max="3847" width="25" bestFit="1" customWidth="1"/>
    <col min="3848" max="3848" width="31.28515625" bestFit="1" customWidth="1"/>
    <col min="3852" max="3852" width="11.42578125" customWidth="1"/>
    <col min="4095" max="4095" width="22.5703125" customWidth="1"/>
    <col min="4096" max="4096" width="23.85546875" customWidth="1"/>
    <col min="4097" max="4097" width="37.7109375" customWidth="1"/>
    <col min="4098" max="4098" width="4.28515625" customWidth="1"/>
    <col min="4099" max="4100" width="8" bestFit="1" customWidth="1"/>
    <col min="4101" max="4101" width="3.85546875" customWidth="1"/>
    <col min="4102" max="4102" width="15.28515625" bestFit="1" customWidth="1"/>
    <col min="4103" max="4103" width="25" bestFit="1" customWidth="1"/>
    <col min="4104" max="4104" width="31.28515625" bestFit="1" customWidth="1"/>
    <col min="4108" max="4108" width="11.42578125" customWidth="1"/>
    <col min="4351" max="4351" width="22.5703125" customWidth="1"/>
    <col min="4352" max="4352" width="23.85546875" customWidth="1"/>
    <col min="4353" max="4353" width="37.7109375" customWidth="1"/>
    <col min="4354" max="4354" width="4.28515625" customWidth="1"/>
    <col min="4355" max="4356" width="8" bestFit="1" customWidth="1"/>
    <col min="4357" max="4357" width="3.85546875" customWidth="1"/>
    <col min="4358" max="4358" width="15.28515625" bestFit="1" customWidth="1"/>
    <col min="4359" max="4359" width="25" bestFit="1" customWidth="1"/>
    <col min="4360" max="4360" width="31.28515625" bestFit="1" customWidth="1"/>
    <col min="4364" max="4364" width="11.42578125" customWidth="1"/>
    <col min="4607" max="4607" width="22.5703125" customWidth="1"/>
    <col min="4608" max="4608" width="23.85546875" customWidth="1"/>
    <col min="4609" max="4609" width="37.7109375" customWidth="1"/>
    <col min="4610" max="4610" width="4.28515625" customWidth="1"/>
    <col min="4611" max="4612" width="8" bestFit="1" customWidth="1"/>
    <col min="4613" max="4613" width="3.85546875" customWidth="1"/>
    <col min="4614" max="4614" width="15.28515625" bestFit="1" customWidth="1"/>
    <col min="4615" max="4615" width="25" bestFit="1" customWidth="1"/>
    <col min="4616" max="4616" width="31.28515625" bestFit="1" customWidth="1"/>
    <col min="4620" max="4620" width="11.42578125" customWidth="1"/>
    <col min="4863" max="4863" width="22.5703125" customWidth="1"/>
    <col min="4864" max="4864" width="23.85546875" customWidth="1"/>
    <col min="4865" max="4865" width="37.7109375" customWidth="1"/>
    <col min="4866" max="4866" width="4.28515625" customWidth="1"/>
    <col min="4867" max="4868" width="8" bestFit="1" customWidth="1"/>
    <col min="4869" max="4869" width="3.85546875" customWidth="1"/>
    <col min="4870" max="4870" width="15.28515625" bestFit="1" customWidth="1"/>
    <col min="4871" max="4871" width="25" bestFit="1" customWidth="1"/>
    <col min="4872" max="4872" width="31.28515625" bestFit="1" customWidth="1"/>
    <col min="4876" max="4876" width="11.42578125" customWidth="1"/>
    <col min="5119" max="5119" width="22.5703125" customWidth="1"/>
    <col min="5120" max="5120" width="23.85546875" customWidth="1"/>
    <col min="5121" max="5121" width="37.7109375" customWidth="1"/>
    <col min="5122" max="5122" width="4.28515625" customWidth="1"/>
    <col min="5123" max="5124" width="8" bestFit="1" customWidth="1"/>
    <col min="5125" max="5125" width="3.85546875" customWidth="1"/>
    <col min="5126" max="5126" width="15.28515625" bestFit="1" customWidth="1"/>
    <col min="5127" max="5127" width="25" bestFit="1" customWidth="1"/>
    <col min="5128" max="5128" width="31.28515625" bestFit="1" customWidth="1"/>
    <col min="5132" max="5132" width="11.42578125" customWidth="1"/>
    <col min="5375" max="5375" width="22.5703125" customWidth="1"/>
    <col min="5376" max="5376" width="23.85546875" customWidth="1"/>
    <col min="5377" max="5377" width="37.7109375" customWidth="1"/>
    <col min="5378" max="5378" width="4.28515625" customWidth="1"/>
    <col min="5379" max="5380" width="8" bestFit="1" customWidth="1"/>
    <col min="5381" max="5381" width="3.85546875" customWidth="1"/>
    <col min="5382" max="5382" width="15.28515625" bestFit="1" customWidth="1"/>
    <col min="5383" max="5383" width="25" bestFit="1" customWidth="1"/>
    <col min="5384" max="5384" width="31.28515625" bestFit="1" customWidth="1"/>
    <col min="5388" max="5388" width="11.42578125" customWidth="1"/>
    <col min="5631" max="5631" width="22.5703125" customWidth="1"/>
    <col min="5632" max="5632" width="23.85546875" customWidth="1"/>
    <col min="5633" max="5633" width="37.7109375" customWidth="1"/>
    <col min="5634" max="5634" width="4.28515625" customWidth="1"/>
    <col min="5635" max="5636" width="8" bestFit="1" customWidth="1"/>
    <col min="5637" max="5637" width="3.85546875" customWidth="1"/>
    <col min="5638" max="5638" width="15.28515625" bestFit="1" customWidth="1"/>
    <col min="5639" max="5639" width="25" bestFit="1" customWidth="1"/>
    <col min="5640" max="5640" width="31.28515625" bestFit="1" customWidth="1"/>
    <col min="5644" max="5644" width="11.42578125" customWidth="1"/>
    <col min="5887" max="5887" width="22.5703125" customWidth="1"/>
    <col min="5888" max="5888" width="23.85546875" customWidth="1"/>
    <col min="5889" max="5889" width="37.7109375" customWidth="1"/>
    <col min="5890" max="5890" width="4.28515625" customWidth="1"/>
    <col min="5891" max="5892" width="8" bestFit="1" customWidth="1"/>
    <col min="5893" max="5893" width="3.85546875" customWidth="1"/>
    <col min="5894" max="5894" width="15.28515625" bestFit="1" customWidth="1"/>
    <col min="5895" max="5895" width="25" bestFit="1" customWidth="1"/>
    <col min="5896" max="5896" width="31.28515625" bestFit="1" customWidth="1"/>
    <col min="5900" max="5900" width="11.42578125" customWidth="1"/>
    <col min="6143" max="6143" width="22.5703125" customWidth="1"/>
    <col min="6144" max="6144" width="23.85546875" customWidth="1"/>
    <col min="6145" max="6145" width="37.7109375" customWidth="1"/>
    <col min="6146" max="6146" width="4.28515625" customWidth="1"/>
    <col min="6147" max="6148" width="8" bestFit="1" customWidth="1"/>
    <col min="6149" max="6149" width="3.85546875" customWidth="1"/>
    <col min="6150" max="6150" width="15.28515625" bestFit="1" customWidth="1"/>
    <col min="6151" max="6151" width="25" bestFit="1" customWidth="1"/>
    <col min="6152" max="6152" width="31.28515625" bestFit="1" customWidth="1"/>
    <col min="6156" max="6156" width="11.42578125" customWidth="1"/>
    <col min="6399" max="6399" width="22.5703125" customWidth="1"/>
    <col min="6400" max="6400" width="23.85546875" customWidth="1"/>
    <col min="6401" max="6401" width="37.7109375" customWidth="1"/>
    <col min="6402" max="6402" width="4.28515625" customWidth="1"/>
    <col min="6403" max="6404" width="8" bestFit="1" customWidth="1"/>
    <col min="6405" max="6405" width="3.85546875" customWidth="1"/>
    <col min="6406" max="6406" width="15.28515625" bestFit="1" customWidth="1"/>
    <col min="6407" max="6407" width="25" bestFit="1" customWidth="1"/>
    <col min="6408" max="6408" width="31.28515625" bestFit="1" customWidth="1"/>
    <col min="6412" max="6412" width="11.42578125" customWidth="1"/>
    <col min="6655" max="6655" width="22.5703125" customWidth="1"/>
    <col min="6656" max="6656" width="23.85546875" customWidth="1"/>
    <col min="6657" max="6657" width="37.7109375" customWidth="1"/>
    <col min="6658" max="6658" width="4.28515625" customWidth="1"/>
    <col min="6659" max="6660" width="8" bestFit="1" customWidth="1"/>
    <col min="6661" max="6661" width="3.85546875" customWidth="1"/>
    <col min="6662" max="6662" width="15.28515625" bestFit="1" customWidth="1"/>
    <col min="6663" max="6663" width="25" bestFit="1" customWidth="1"/>
    <col min="6664" max="6664" width="31.28515625" bestFit="1" customWidth="1"/>
    <col min="6668" max="6668" width="11.42578125" customWidth="1"/>
    <col min="6911" max="6911" width="22.5703125" customWidth="1"/>
    <col min="6912" max="6912" width="23.85546875" customWidth="1"/>
    <col min="6913" max="6913" width="37.7109375" customWidth="1"/>
    <col min="6914" max="6914" width="4.28515625" customWidth="1"/>
    <col min="6915" max="6916" width="8" bestFit="1" customWidth="1"/>
    <col min="6917" max="6917" width="3.85546875" customWidth="1"/>
    <col min="6918" max="6918" width="15.28515625" bestFit="1" customWidth="1"/>
    <col min="6919" max="6919" width="25" bestFit="1" customWidth="1"/>
    <col min="6920" max="6920" width="31.28515625" bestFit="1" customWidth="1"/>
    <col min="6924" max="6924" width="11.42578125" customWidth="1"/>
    <col min="7167" max="7167" width="22.5703125" customWidth="1"/>
    <col min="7168" max="7168" width="23.85546875" customWidth="1"/>
    <col min="7169" max="7169" width="37.7109375" customWidth="1"/>
    <col min="7170" max="7170" width="4.28515625" customWidth="1"/>
    <col min="7171" max="7172" width="8" bestFit="1" customWidth="1"/>
    <col min="7173" max="7173" width="3.85546875" customWidth="1"/>
    <col min="7174" max="7174" width="15.28515625" bestFit="1" customWidth="1"/>
    <col min="7175" max="7175" width="25" bestFit="1" customWidth="1"/>
    <col min="7176" max="7176" width="31.28515625" bestFit="1" customWidth="1"/>
    <col min="7180" max="7180" width="11.42578125" customWidth="1"/>
    <col min="7423" max="7423" width="22.5703125" customWidth="1"/>
    <col min="7424" max="7424" width="23.85546875" customWidth="1"/>
    <col min="7425" max="7425" width="37.7109375" customWidth="1"/>
    <col min="7426" max="7426" width="4.28515625" customWidth="1"/>
    <col min="7427" max="7428" width="8" bestFit="1" customWidth="1"/>
    <col min="7429" max="7429" width="3.85546875" customWidth="1"/>
    <col min="7430" max="7430" width="15.28515625" bestFit="1" customWidth="1"/>
    <col min="7431" max="7431" width="25" bestFit="1" customWidth="1"/>
    <col min="7432" max="7432" width="31.28515625" bestFit="1" customWidth="1"/>
    <col min="7436" max="7436" width="11.42578125" customWidth="1"/>
    <col min="7679" max="7679" width="22.5703125" customWidth="1"/>
    <col min="7680" max="7680" width="23.85546875" customWidth="1"/>
    <col min="7681" max="7681" width="37.7109375" customWidth="1"/>
    <col min="7682" max="7682" width="4.28515625" customWidth="1"/>
    <col min="7683" max="7684" width="8" bestFit="1" customWidth="1"/>
    <col min="7685" max="7685" width="3.85546875" customWidth="1"/>
    <col min="7686" max="7686" width="15.28515625" bestFit="1" customWidth="1"/>
    <col min="7687" max="7687" width="25" bestFit="1" customWidth="1"/>
    <col min="7688" max="7688" width="31.28515625" bestFit="1" customWidth="1"/>
    <col min="7692" max="7692" width="11.42578125" customWidth="1"/>
    <col min="7935" max="7935" width="22.5703125" customWidth="1"/>
    <col min="7936" max="7936" width="23.85546875" customWidth="1"/>
    <col min="7937" max="7937" width="37.7109375" customWidth="1"/>
    <col min="7938" max="7938" width="4.28515625" customWidth="1"/>
    <col min="7939" max="7940" width="8" bestFit="1" customWidth="1"/>
    <col min="7941" max="7941" width="3.85546875" customWidth="1"/>
    <col min="7942" max="7942" width="15.28515625" bestFit="1" customWidth="1"/>
    <col min="7943" max="7943" width="25" bestFit="1" customWidth="1"/>
    <col min="7944" max="7944" width="31.28515625" bestFit="1" customWidth="1"/>
    <col min="7948" max="7948" width="11.42578125" customWidth="1"/>
    <col min="8191" max="8191" width="22.5703125" customWidth="1"/>
    <col min="8192" max="8192" width="23.85546875" customWidth="1"/>
    <col min="8193" max="8193" width="37.7109375" customWidth="1"/>
    <col min="8194" max="8194" width="4.28515625" customWidth="1"/>
    <col min="8195" max="8196" width="8" bestFit="1" customWidth="1"/>
    <col min="8197" max="8197" width="3.85546875" customWidth="1"/>
    <col min="8198" max="8198" width="15.28515625" bestFit="1" customWidth="1"/>
    <col min="8199" max="8199" width="25" bestFit="1" customWidth="1"/>
    <col min="8200" max="8200" width="31.28515625" bestFit="1" customWidth="1"/>
    <col min="8204" max="8204" width="11.42578125" customWidth="1"/>
    <col min="8447" max="8447" width="22.5703125" customWidth="1"/>
    <col min="8448" max="8448" width="23.85546875" customWidth="1"/>
    <col min="8449" max="8449" width="37.7109375" customWidth="1"/>
    <col min="8450" max="8450" width="4.28515625" customWidth="1"/>
    <col min="8451" max="8452" width="8" bestFit="1" customWidth="1"/>
    <col min="8453" max="8453" width="3.85546875" customWidth="1"/>
    <col min="8454" max="8454" width="15.28515625" bestFit="1" customWidth="1"/>
    <col min="8455" max="8455" width="25" bestFit="1" customWidth="1"/>
    <col min="8456" max="8456" width="31.28515625" bestFit="1" customWidth="1"/>
    <col min="8460" max="8460" width="11.42578125" customWidth="1"/>
    <col min="8703" max="8703" width="22.5703125" customWidth="1"/>
    <col min="8704" max="8704" width="23.85546875" customWidth="1"/>
    <col min="8705" max="8705" width="37.7109375" customWidth="1"/>
    <col min="8706" max="8706" width="4.28515625" customWidth="1"/>
    <col min="8707" max="8708" width="8" bestFit="1" customWidth="1"/>
    <col min="8709" max="8709" width="3.85546875" customWidth="1"/>
    <col min="8710" max="8710" width="15.28515625" bestFit="1" customWidth="1"/>
    <col min="8711" max="8711" width="25" bestFit="1" customWidth="1"/>
    <col min="8712" max="8712" width="31.28515625" bestFit="1" customWidth="1"/>
    <col min="8716" max="8716" width="11.42578125" customWidth="1"/>
    <col min="8959" max="8959" width="22.5703125" customWidth="1"/>
    <col min="8960" max="8960" width="23.85546875" customWidth="1"/>
    <col min="8961" max="8961" width="37.7109375" customWidth="1"/>
    <col min="8962" max="8962" width="4.28515625" customWidth="1"/>
    <col min="8963" max="8964" width="8" bestFit="1" customWidth="1"/>
    <col min="8965" max="8965" width="3.85546875" customWidth="1"/>
    <col min="8966" max="8966" width="15.28515625" bestFit="1" customWidth="1"/>
    <col min="8967" max="8967" width="25" bestFit="1" customWidth="1"/>
    <col min="8968" max="8968" width="31.28515625" bestFit="1" customWidth="1"/>
    <col min="8972" max="8972" width="11.42578125" customWidth="1"/>
    <col min="9215" max="9215" width="22.5703125" customWidth="1"/>
    <col min="9216" max="9216" width="23.85546875" customWidth="1"/>
    <col min="9217" max="9217" width="37.7109375" customWidth="1"/>
    <col min="9218" max="9218" width="4.28515625" customWidth="1"/>
    <col min="9219" max="9220" width="8" bestFit="1" customWidth="1"/>
    <col min="9221" max="9221" width="3.85546875" customWidth="1"/>
    <col min="9222" max="9222" width="15.28515625" bestFit="1" customWidth="1"/>
    <col min="9223" max="9223" width="25" bestFit="1" customWidth="1"/>
    <col min="9224" max="9224" width="31.28515625" bestFit="1" customWidth="1"/>
    <col min="9228" max="9228" width="11.42578125" customWidth="1"/>
    <col min="9471" max="9471" width="22.5703125" customWidth="1"/>
    <col min="9472" max="9472" width="23.85546875" customWidth="1"/>
    <col min="9473" max="9473" width="37.7109375" customWidth="1"/>
    <col min="9474" max="9474" width="4.28515625" customWidth="1"/>
    <col min="9475" max="9476" width="8" bestFit="1" customWidth="1"/>
    <col min="9477" max="9477" width="3.85546875" customWidth="1"/>
    <col min="9478" max="9478" width="15.28515625" bestFit="1" customWidth="1"/>
    <col min="9479" max="9479" width="25" bestFit="1" customWidth="1"/>
    <col min="9480" max="9480" width="31.28515625" bestFit="1" customWidth="1"/>
    <col min="9484" max="9484" width="11.42578125" customWidth="1"/>
    <col min="9727" max="9727" width="22.5703125" customWidth="1"/>
    <col min="9728" max="9728" width="23.85546875" customWidth="1"/>
    <col min="9729" max="9729" width="37.7109375" customWidth="1"/>
    <col min="9730" max="9730" width="4.28515625" customWidth="1"/>
    <col min="9731" max="9732" width="8" bestFit="1" customWidth="1"/>
    <col min="9733" max="9733" width="3.85546875" customWidth="1"/>
    <col min="9734" max="9734" width="15.28515625" bestFit="1" customWidth="1"/>
    <col min="9735" max="9735" width="25" bestFit="1" customWidth="1"/>
    <col min="9736" max="9736" width="31.28515625" bestFit="1" customWidth="1"/>
    <col min="9740" max="9740" width="11.42578125" customWidth="1"/>
    <col min="9983" max="9983" width="22.5703125" customWidth="1"/>
    <col min="9984" max="9984" width="23.85546875" customWidth="1"/>
    <col min="9985" max="9985" width="37.7109375" customWidth="1"/>
    <col min="9986" max="9986" width="4.28515625" customWidth="1"/>
    <col min="9987" max="9988" width="8" bestFit="1" customWidth="1"/>
    <col min="9989" max="9989" width="3.85546875" customWidth="1"/>
    <col min="9990" max="9990" width="15.28515625" bestFit="1" customWidth="1"/>
    <col min="9991" max="9991" width="25" bestFit="1" customWidth="1"/>
    <col min="9992" max="9992" width="31.28515625" bestFit="1" customWidth="1"/>
    <col min="9996" max="9996" width="11.42578125" customWidth="1"/>
    <col min="10239" max="10239" width="22.5703125" customWidth="1"/>
    <col min="10240" max="10240" width="23.85546875" customWidth="1"/>
    <col min="10241" max="10241" width="37.7109375" customWidth="1"/>
    <col min="10242" max="10242" width="4.28515625" customWidth="1"/>
    <col min="10243" max="10244" width="8" bestFit="1" customWidth="1"/>
    <col min="10245" max="10245" width="3.85546875" customWidth="1"/>
    <col min="10246" max="10246" width="15.28515625" bestFit="1" customWidth="1"/>
    <col min="10247" max="10247" width="25" bestFit="1" customWidth="1"/>
    <col min="10248" max="10248" width="31.28515625" bestFit="1" customWidth="1"/>
    <col min="10252" max="10252" width="11.42578125" customWidth="1"/>
    <col min="10495" max="10495" width="22.5703125" customWidth="1"/>
    <col min="10496" max="10496" width="23.85546875" customWidth="1"/>
    <col min="10497" max="10497" width="37.7109375" customWidth="1"/>
    <col min="10498" max="10498" width="4.28515625" customWidth="1"/>
    <col min="10499" max="10500" width="8" bestFit="1" customWidth="1"/>
    <col min="10501" max="10501" width="3.85546875" customWidth="1"/>
    <col min="10502" max="10502" width="15.28515625" bestFit="1" customWidth="1"/>
    <col min="10503" max="10503" width="25" bestFit="1" customWidth="1"/>
    <col min="10504" max="10504" width="31.28515625" bestFit="1" customWidth="1"/>
    <col min="10508" max="10508" width="11.42578125" customWidth="1"/>
    <col min="10751" max="10751" width="22.5703125" customWidth="1"/>
    <col min="10752" max="10752" width="23.85546875" customWidth="1"/>
    <col min="10753" max="10753" width="37.7109375" customWidth="1"/>
    <col min="10754" max="10754" width="4.28515625" customWidth="1"/>
    <col min="10755" max="10756" width="8" bestFit="1" customWidth="1"/>
    <col min="10757" max="10757" width="3.85546875" customWidth="1"/>
    <col min="10758" max="10758" width="15.28515625" bestFit="1" customWidth="1"/>
    <col min="10759" max="10759" width="25" bestFit="1" customWidth="1"/>
    <col min="10760" max="10760" width="31.28515625" bestFit="1" customWidth="1"/>
    <col min="10764" max="10764" width="11.42578125" customWidth="1"/>
    <col min="11007" max="11007" width="22.5703125" customWidth="1"/>
    <col min="11008" max="11008" width="23.85546875" customWidth="1"/>
    <col min="11009" max="11009" width="37.7109375" customWidth="1"/>
    <col min="11010" max="11010" width="4.28515625" customWidth="1"/>
    <col min="11011" max="11012" width="8" bestFit="1" customWidth="1"/>
    <col min="11013" max="11013" width="3.85546875" customWidth="1"/>
    <col min="11014" max="11014" width="15.28515625" bestFit="1" customWidth="1"/>
    <col min="11015" max="11015" width="25" bestFit="1" customWidth="1"/>
    <col min="11016" max="11016" width="31.28515625" bestFit="1" customWidth="1"/>
    <col min="11020" max="11020" width="11.42578125" customWidth="1"/>
    <col min="11263" max="11263" width="22.5703125" customWidth="1"/>
    <col min="11264" max="11264" width="23.85546875" customWidth="1"/>
    <col min="11265" max="11265" width="37.7109375" customWidth="1"/>
    <col min="11266" max="11266" width="4.28515625" customWidth="1"/>
    <col min="11267" max="11268" width="8" bestFit="1" customWidth="1"/>
    <col min="11269" max="11269" width="3.85546875" customWidth="1"/>
    <col min="11270" max="11270" width="15.28515625" bestFit="1" customWidth="1"/>
    <col min="11271" max="11271" width="25" bestFit="1" customWidth="1"/>
    <col min="11272" max="11272" width="31.28515625" bestFit="1" customWidth="1"/>
    <col min="11276" max="11276" width="11.42578125" customWidth="1"/>
    <col min="11519" max="11519" width="22.5703125" customWidth="1"/>
    <col min="11520" max="11520" width="23.85546875" customWidth="1"/>
    <col min="11521" max="11521" width="37.7109375" customWidth="1"/>
    <col min="11522" max="11522" width="4.28515625" customWidth="1"/>
    <col min="11523" max="11524" width="8" bestFit="1" customWidth="1"/>
    <col min="11525" max="11525" width="3.85546875" customWidth="1"/>
    <col min="11526" max="11526" width="15.28515625" bestFit="1" customWidth="1"/>
    <col min="11527" max="11527" width="25" bestFit="1" customWidth="1"/>
    <col min="11528" max="11528" width="31.28515625" bestFit="1" customWidth="1"/>
    <col min="11532" max="11532" width="11.42578125" customWidth="1"/>
    <col min="11775" max="11775" width="22.5703125" customWidth="1"/>
    <col min="11776" max="11776" width="23.85546875" customWidth="1"/>
    <col min="11777" max="11777" width="37.7109375" customWidth="1"/>
    <col min="11778" max="11778" width="4.28515625" customWidth="1"/>
    <col min="11779" max="11780" width="8" bestFit="1" customWidth="1"/>
    <col min="11781" max="11781" width="3.85546875" customWidth="1"/>
    <col min="11782" max="11782" width="15.28515625" bestFit="1" customWidth="1"/>
    <col min="11783" max="11783" width="25" bestFit="1" customWidth="1"/>
    <col min="11784" max="11784" width="31.28515625" bestFit="1" customWidth="1"/>
    <col min="11788" max="11788" width="11.42578125" customWidth="1"/>
    <col min="12031" max="12031" width="22.5703125" customWidth="1"/>
    <col min="12032" max="12032" width="23.85546875" customWidth="1"/>
    <col min="12033" max="12033" width="37.7109375" customWidth="1"/>
    <col min="12034" max="12034" width="4.28515625" customWidth="1"/>
    <col min="12035" max="12036" width="8" bestFit="1" customWidth="1"/>
    <col min="12037" max="12037" width="3.85546875" customWidth="1"/>
    <col min="12038" max="12038" width="15.28515625" bestFit="1" customWidth="1"/>
    <col min="12039" max="12039" width="25" bestFit="1" customWidth="1"/>
    <col min="12040" max="12040" width="31.28515625" bestFit="1" customWidth="1"/>
    <col min="12044" max="12044" width="11.42578125" customWidth="1"/>
    <col min="12287" max="12287" width="22.5703125" customWidth="1"/>
    <col min="12288" max="12288" width="23.85546875" customWidth="1"/>
    <col min="12289" max="12289" width="37.7109375" customWidth="1"/>
    <col min="12290" max="12290" width="4.28515625" customWidth="1"/>
    <col min="12291" max="12292" width="8" bestFit="1" customWidth="1"/>
    <col min="12293" max="12293" width="3.85546875" customWidth="1"/>
    <col min="12294" max="12294" width="15.28515625" bestFit="1" customWidth="1"/>
    <col min="12295" max="12295" width="25" bestFit="1" customWidth="1"/>
    <col min="12296" max="12296" width="31.28515625" bestFit="1" customWidth="1"/>
    <col min="12300" max="12300" width="11.42578125" customWidth="1"/>
    <col min="12543" max="12543" width="22.5703125" customWidth="1"/>
    <col min="12544" max="12544" width="23.85546875" customWidth="1"/>
    <col min="12545" max="12545" width="37.7109375" customWidth="1"/>
    <col min="12546" max="12546" width="4.28515625" customWidth="1"/>
    <col min="12547" max="12548" width="8" bestFit="1" customWidth="1"/>
    <col min="12549" max="12549" width="3.85546875" customWidth="1"/>
    <col min="12550" max="12550" width="15.28515625" bestFit="1" customWidth="1"/>
    <col min="12551" max="12551" width="25" bestFit="1" customWidth="1"/>
    <col min="12552" max="12552" width="31.28515625" bestFit="1" customWidth="1"/>
    <col min="12556" max="12556" width="11.42578125" customWidth="1"/>
    <col min="12799" max="12799" width="22.5703125" customWidth="1"/>
    <col min="12800" max="12800" width="23.85546875" customWidth="1"/>
    <col min="12801" max="12801" width="37.7109375" customWidth="1"/>
    <col min="12802" max="12802" width="4.28515625" customWidth="1"/>
    <col min="12803" max="12804" width="8" bestFit="1" customWidth="1"/>
    <col min="12805" max="12805" width="3.85546875" customWidth="1"/>
    <col min="12806" max="12806" width="15.28515625" bestFit="1" customWidth="1"/>
    <col min="12807" max="12807" width="25" bestFit="1" customWidth="1"/>
    <col min="12808" max="12808" width="31.28515625" bestFit="1" customWidth="1"/>
    <col min="12812" max="12812" width="11.42578125" customWidth="1"/>
    <col min="13055" max="13055" width="22.5703125" customWidth="1"/>
    <col min="13056" max="13056" width="23.85546875" customWidth="1"/>
    <col min="13057" max="13057" width="37.7109375" customWidth="1"/>
    <col min="13058" max="13058" width="4.28515625" customWidth="1"/>
    <col min="13059" max="13060" width="8" bestFit="1" customWidth="1"/>
    <col min="13061" max="13061" width="3.85546875" customWidth="1"/>
    <col min="13062" max="13062" width="15.28515625" bestFit="1" customWidth="1"/>
    <col min="13063" max="13063" width="25" bestFit="1" customWidth="1"/>
    <col min="13064" max="13064" width="31.28515625" bestFit="1" customWidth="1"/>
    <col min="13068" max="13068" width="11.42578125" customWidth="1"/>
    <col min="13311" max="13311" width="22.5703125" customWidth="1"/>
    <col min="13312" max="13312" width="23.85546875" customWidth="1"/>
    <col min="13313" max="13313" width="37.7109375" customWidth="1"/>
    <col min="13314" max="13314" width="4.28515625" customWidth="1"/>
    <col min="13315" max="13316" width="8" bestFit="1" customWidth="1"/>
    <col min="13317" max="13317" width="3.85546875" customWidth="1"/>
    <col min="13318" max="13318" width="15.28515625" bestFit="1" customWidth="1"/>
    <col min="13319" max="13319" width="25" bestFit="1" customWidth="1"/>
    <col min="13320" max="13320" width="31.28515625" bestFit="1" customWidth="1"/>
    <col min="13324" max="13324" width="11.42578125" customWidth="1"/>
    <col min="13567" max="13567" width="22.5703125" customWidth="1"/>
    <col min="13568" max="13568" width="23.85546875" customWidth="1"/>
    <col min="13569" max="13569" width="37.7109375" customWidth="1"/>
    <col min="13570" max="13570" width="4.28515625" customWidth="1"/>
    <col min="13571" max="13572" width="8" bestFit="1" customWidth="1"/>
    <col min="13573" max="13573" width="3.85546875" customWidth="1"/>
    <col min="13574" max="13574" width="15.28515625" bestFit="1" customWidth="1"/>
    <col min="13575" max="13575" width="25" bestFit="1" customWidth="1"/>
    <col min="13576" max="13576" width="31.28515625" bestFit="1" customWidth="1"/>
    <col min="13580" max="13580" width="11.42578125" customWidth="1"/>
    <col min="13823" max="13823" width="22.5703125" customWidth="1"/>
    <col min="13824" max="13824" width="23.85546875" customWidth="1"/>
    <col min="13825" max="13825" width="37.7109375" customWidth="1"/>
    <col min="13826" max="13826" width="4.28515625" customWidth="1"/>
    <col min="13827" max="13828" width="8" bestFit="1" customWidth="1"/>
    <col min="13829" max="13829" width="3.85546875" customWidth="1"/>
    <col min="13830" max="13830" width="15.28515625" bestFit="1" customWidth="1"/>
    <col min="13831" max="13831" width="25" bestFit="1" customWidth="1"/>
    <col min="13832" max="13832" width="31.28515625" bestFit="1" customWidth="1"/>
    <col min="13836" max="13836" width="11.42578125" customWidth="1"/>
    <col min="14079" max="14079" width="22.5703125" customWidth="1"/>
    <col min="14080" max="14080" width="23.85546875" customWidth="1"/>
    <col min="14081" max="14081" width="37.7109375" customWidth="1"/>
    <col min="14082" max="14082" width="4.28515625" customWidth="1"/>
    <col min="14083" max="14084" width="8" bestFit="1" customWidth="1"/>
    <col min="14085" max="14085" width="3.85546875" customWidth="1"/>
    <col min="14086" max="14086" width="15.28515625" bestFit="1" customWidth="1"/>
    <col min="14087" max="14087" width="25" bestFit="1" customWidth="1"/>
    <col min="14088" max="14088" width="31.28515625" bestFit="1" customWidth="1"/>
    <col min="14092" max="14092" width="11.42578125" customWidth="1"/>
    <col min="14335" max="14335" width="22.5703125" customWidth="1"/>
    <col min="14336" max="14336" width="23.85546875" customWidth="1"/>
    <col min="14337" max="14337" width="37.7109375" customWidth="1"/>
    <col min="14338" max="14338" width="4.28515625" customWidth="1"/>
    <col min="14339" max="14340" width="8" bestFit="1" customWidth="1"/>
    <col min="14341" max="14341" width="3.85546875" customWidth="1"/>
    <col min="14342" max="14342" width="15.28515625" bestFit="1" customWidth="1"/>
    <col min="14343" max="14343" width="25" bestFit="1" customWidth="1"/>
    <col min="14344" max="14344" width="31.28515625" bestFit="1" customWidth="1"/>
    <col min="14348" max="14348" width="11.42578125" customWidth="1"/>
    <col min="14591" max="14591" width="22.5703125" customWidth="1"/>
    <col min="14592" max="14592" width="23.85546875" customWidth="1"/>
    <col min="14593" max="14593" width="37.7109375" customWidth="1"/>
    <col min="14594" max="14594" width="4.28515625" customWidth="1"/>
    <col min="14595" max="14596" width="8" bestFit="1" customWidth="1"/>
    <col min="14597" max="14597" width="3.85546875" customWidth="1"/>
    <col min="14598" max="14598" width="15.28515625" bestFit="1" customWidth="1"/>
    <col min="14599" max="14599" width="25" bestFit="1" customWidth="1"/>
    <col min="14600" max="14600" width="31.28515625" bestFit="1" customWidth="1"/>
    <col min="14604" max="14604" width="11.42578125" customWidth="1"/>
    <col min="14847" max="14847" width="22.5703125" customWidth="1"/>
    <col min="14848" max="14848" width="23.85546875" customWidth="1"/>
    <col min="14849" max="14849" width="37.7109375" customWidth="1"/>
    <col min="14850" max="14850" width="4.28515625" customWidth="1"/>
    <col min="14851" max="14852" width="8" bestFit="1" customWidth="1"/>
    <col min="14853" max="14853" width="3.85546875" customWidth="1"/>
    <col min="14854" max="14854" width="15.28515625" bestFit="1" customWidth="1"/>
    <col min="14855" max="14855" width="25" bestFit="1" customWidth="1"/>
    <col min="14856" max="14856" width="31.28515625" bestFit="1" customWidth="1"/>
    <col min="14860" max="14860" width="11.42578125" customWidth="1"/>
    <col min="15103" max="15103" width="22.5703125" customWidth="1"/>
    <col min="15104" max="15104" width="23.85546875" customWidth="1"/>
    <col min="15105" max="15105" width="37.7109375" customWidth="1"/>
    <col min="15106" max="15106" width="4.28515625" customWidth="1"/>
    <col min="15107" max="15108" width="8" bestFit="1" customWidth="1"/>
    <col min="15109" max="15109" width="3.85546875" customWidth="1"/>
    <col min="15110" max="15110" width="15.28515625" bestFit="1" customWidth="1"/>
    <col min="15111" max="15111" width="25" bestFit="1" customWidth="1"/>
    <col min="15112" max="15112" width="31.28515625" bestFit="1" customWidth="1"/>
    <col min="15116" max="15116" width="11.42578125" customWidth="1"/>
    <col min="15359" max="15359" width="22.5703125" customWidth="1"/>
    <col min="15360" max="15360" width="23.85546875" customWidth="1"/>
    <col min="15361" max="15361" width="37.7109375" customWidth="1"/>
    <col min="15362" max="15362" width="4.28515625" customWidth="1"/>
    <col min="15363" max="15364" width="8" bestFit="1" customWidth="1"/>
    <col min="15365" max="15365" width="3.85546875" customWidth="1"/>
    <col min="15366" max="15366" width="15.28515625" bestFit="1" customWidth="1"/>
    <col min="15367" max="15367" width="25" bestFit="1" customWidth="1"/>
    <col min="15368" max="15368" width="31.28515625" bestFit="1" customWidth="1"/>
    <col min="15372" max="15372" width="11.42578125" customWidth="1"/>
    <col min="15615" max="15615" width="22.5703125" customWidth="1"/>
    <col min="15616" max="15616" width="23.85546875" customWidth="1"/>
    <col min="15617" max="15617" width="37.7109375" customWidth="1"/>
    <col min="15618" max="15618" width="4.28515625" customWidth="1"/>
    <col min="15619" max="15620" width="8" bestFit="1" customWidth="1"/>
    <col min="15621" max="15621" width="3.85546875" customWidth="1"/>
    <col min="15622" max="15622" width="15.28515625" bestFit="1" customWidth="1"/>
    <col min="15623" max="15623" width="25" bestFit="1" customWidth="1"/>
    <col min="15624" max="15624" width="31.28515625" bestFit="1" customWidth="1"/>
    <col min="15628" max="15628" width="11.42578125" customWidth="1"/>
    <col min="15871" max="15871" width="22.5703125" customWidth="1"/>
    <col min="15872" max="15872" width="23.85546875" customWidth="1"/>
    <col min="15873" max="15873" width="37.7109375" customWidth="1"/>
    <col min="15874" max="15874" width="4.28515625" customWidth="1"/>
    <col min="15875" max="15876" width="8" bestFit="1" customWidth="1"/>
    <col min="15877" max="15877" width="3.85546875" customWidth="1"/>
    <col min="15878" max="15878" width="15.28515625" bestFit="1" customWidth="1"/>
    <col min="15879" max="15879" width="25" bestFit="1" customWidth="1"/>
    <col min="15880" max="15880" width="31.28515625" bestFit="1" customWidth="1"/>
    <col min="15884" max="15884" width="11.42578125" customWidth="1"/>
    <col min="16127" max="16127" width="22.5703125" customWidth="1"/>
    <col min="16128" max="16128" width="23.85546875" customWidth="1"/>
    <col min="16129" max="16129" width="37.7109375" customWidth="1"/>
    <col min="16130" max="16130" width="4.28515625" customWidth="1"/>
    <col min="16131" max="16132" width="8" bestFit="1" customWidth="1"/>
    <col min="16133" max="16133" width="3.85546875" customWidth="1"/>
    <col min="16134" max="16134" width="15.28515625" bestFit="1" customWidth="1"/>
    <col min="16135" max="16135" width="25" bestFit="1" customWidth="1"/>
    <col min="16136" max="16136" width="31.28515625" bestFit="1" customWidth="1"/>
    <col min="16140" max="16140" width="11.42578125" customWidth="1"/>
  </cols>
  <sheetData>
    <row r="1" spans="1:11" ht="31.5" customHeight="1" thickBot="1" x14ac:dyDescent="0.3">
      <c r="A1" s="182" t="s">
        <v>81</v>
      </c>
      <c r="B1" s="183"/>
      <c r="C1" s="94"/>
      <c r="D1" s="95"/>
      <c r="F1" s="96"/>
      <c r="G1" s="182" t="s">
        <v>98</v>
      </c>
      <c r="H1" s="183"/>
    </row>
    <row r="2" spans="1:11" ht="15.75" thickBot="1" x14ac:dyDescent="0.3">
      <c r="C2" s="96"/>
      <c r="D2" s="102">
        <f>B4</f>
        <v>97.695173988820997</v>
      </c>
      <c r="E2" s="103">
        <f>H4</f>
        <v>102.303</v>
      </c>
      <c r="F2" s="96"/>
    </row>
    <row r="3" spans="1:11" ht="27.75" customHeight="1" thickBot="1" x14ac:dyDescent="0.3">
      <c r="A3" s="97" t="s">
        <v>69</v>
      </c>
      <c r="B3" s="98" t="s">
        <v>70</v>
      </c>
      <c r="C3" s="99"/>
      <c r="D3" s="184">
        <f>E2/D2</f>
        <v>1.0471653391159963</v>
      </c>
      <c r="E3" s="185"/>
      <c r="F3" s="96"/>
      <c r="G3" s="97" t="s">
        <v>69</v>
      </c>
      <c r="H3" s="98" t="s">
        <v>70</v>
      </c>
    </row>
    <row r="4" spans="1:11" x14ac:dyDescent="0.25">
      <c r="A4" s="117">
        <v>43040</v>
      </c>
      <c r="B4" s="100">
        <v>97.695173988820997</v>
      </c>
      <c r="C4" s="101"/>
      <c r="F4" s="96"/>
      <c r="G4" s="118">
        <v>43405</v>
      </c>
      <c r="H4" s="116">
        <v>102.303</v>
      </c>
    </row>
    <row r="5" spans="1:11" x14ac:dyDescent="0.25">
      <c r="C5" s="96"/>
    </row>
    <row r="6" spans="1:11" ht="89.25" x14ac:dyDescent="0.25">
      <c r="A6" s="107" t="s">
        <v>83</v>
      </c>
      <c r="B6" s="108" t="s">
        <v>95</v>
      </c>
      <c r="E6" s="96"/>
      <c r="J6" t="s">
        <v>27</v>
      </c>
      <c r="K6" t="s">
        <v>27</v>
      </c>
    </row>
    <row r="7" spans="1:11" x14ac:dyDescent="0.25">
      <c r="A7" s="107" t="s">
        <v>84</v>
      </c>
      <c r="B7" s="109" t="s">
        <v>96</v>
      </c>
      <c r="D7" s="95" t="s">
        <v>71</v>
      </c>
      <c r="E7" s="104"/>
    </row>
    <row r="8" spans="1:11" x14ac:dyDescent="0.25">
      <c r="A8" s="107" t="s">
        <v>85</v>
      </c>
      <c r="B8" s="109" t="s">
        <v>86</v>
      </c>
      <c r="D8" s="104" t="s">
        <v>82</v>
      </c>
    </row>
    <row r="9" spans="1:11" x14ac:dyDescent="0.25">
      <c r="A9" s="107" t="s">
        <v>87</v>
      </c>
      <c r="B9" s="109" t="s">
        <v>88</v>
      </c>
      <c r="I9" s="95" t="s">
        <v>27</v>
      </c>
      <c r="J9" s="104"/>
    </row>
    <row r="10" spans="1:11" x14ac:dyDescent="0.25">
      <c r="A10" s="107" t="s">
        <v>89</v>
      </c>
      <c r="B10" s="109" t="s">
        <v>90</v>
      </c>
    </row>
    <row r="11" spans="1:11" ht="38.25" x14ac:dyDescent="0.25">
      <c r="A11" s="107" t="s">
        <v>91</v>
      </c>
      <c r="B11" s="109" t="s">
        <v>92</v>
      </c>
    </row>
    <row r="12" spans="1:11" ht="51" x14ac:dyDescent="0.25">
      <c r="A12" s="107" t="s">
        <v>93</v>
      </c>
      <c r="B12" s="109" t="s">
        <v>97</v>
      </c>
    </row>
    <row r="13" spans="1:11" x14ac:dyDescent="0.25">
      <c r="A13" s="107" t="s">
        <v>94</v>
      </c>
      <c r="B13" s="109" t="s">
        <v>88</v>
      </c>
      <c r="D13" s="105" t="s">
        <v>27</v>
      </c>
    </row>
  </sheetData>
  <mergeCells count="3">
    <mergeCell ref="A1:B1"/>
    <mergeCell ref="G1:H1"/>
    <mergeCell ref="D3:E3"/>
  </mergeCells>
  <hyperlinks>
    <hyperlink ref="D8" r:id="rId1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E23"/>
  <sheetViews>
    <sheetView workbookViewId="0">
      <selection activeCell="C9" sqref="C9"/>
    </sheetView>
  </sheetViews>
  <sheetFormatPr baseColWidth="10" defaultRowHeight="15" x14ac:dyDescent="0.25"/>
  <cols>
    <col min="3" max="3" width="13.42578125" customWidth="1"/>
    <col min="4" max="4" width="14.85546875" customWidth="1"/>
    <col min="5" max="5" width="13.5703125" customWidth="1"/>
  </cols>
  <sheetData>
    <row r="7" spans="3:5" x14ac:dyDescent="0.25">
      <c r="C7" t="s">
        <v>129</v>
      </c>
    </row>
    <row r="8" spans="3:5" x14ac:dyDescent="0.25">
      <c r="C8" t="s">
        <v>130</v>
      </c>
    </row>
    <row r="9" spans="3:5" x14ac:dyDescent="0.25">
      <c r="C9" t="s">
        <v>126</v>
      </c>
      <c r="D9" t="s">
        <v>127</v>
      </c>
      <c r="E9" t="s">
        <v>128</v>
      </c>
    </row>
    <row r="10" spans="3:5" x14ac:dyDescent="0.25">
      <c r="C10" s="132">
        <v>2094490</v>
      </c>
      <c r="D10" s="132">
        <v>701081.64</v>
      </c>
      <c r="E10" s="132">
        <f t="shared" ref="E10:E21" si="0">C10-D10</f>
        <v>1393408.3599999999</v>
      </c>
    </row>
    <row r="11" spans="3:5" x14ac:dyDescent="0.25">
      <c r="C11" s="132">
        <v>2821147</v>
      </c>
      <c r="D11" s="132">
        <v>499352.38</v>
      </c>
      <c r="E11" s="132">
        <f t="shared" si="0"/>
        <v>2321794.62</v>
      </c>
    </row>
    <row r="12" spans="3:5" x14ac:dyDescent="0.25">
      <c r="C12" s="132">
        <v>2331957</v>
      </c>
      <c r="D12" s="132">
        <v>804463.4</v>
      </c>
      <c r="E12" s="132">
        <f t="shared" si="0"/>
        <v>1527493.6</v>
      </c>
    </row>
    <row r="13" spans="3:5" x14ac:dyDescent="0.25">
      <c r="C13" s="132">
        <v>2217486</v>
      </c>
      <c r="D13" s="132">
        <v>583875.53</v>
      </c>
      <c r="E13" s="132">
        <f t="shared" si="0"/>
        <v>1633610.47</v>
      </c>
    </row>
    <row r="14" spans="3:5" x14ac:dyDescent="0.25">
      <c r="C14" s="132">
        <v>1929755</v>
      </c>
      <c r="D14" s="132">
        <v>718705.45</v>
      </c>
      <c r="E14" s="132">
        <f t="shared" si="0"/>
        <v>1211049.55</v>
      </c>
    </row>
    <row r="15" spans="3:5" x14ac:dyDescent="0.25">
      <c r="C15" s="132">
        <v>1948597</v>
      </c>
      <c r="D15" s="132">
        <v>590836.15</v>
      </c>
      <c r="E15" s="132">
        <f t="shared" si="0"/>
        <v>1357760.85</v>
      </c>
    </row>
    <row r="16" spans="3:5" x14ac:dyDescent="0.25">
      <c r="C16" s="132">
        <v>1765662</v>
      </c>
      <c r="D16" s="132">
        <v>642714.03</v>
      </c>
      <c r="E16" s="132">
        <f t="shared" si="0"/>
        <v>1122947.97</v>
      </c>
    </row>
    <row r="17" spans="3:5" x14ac:dyDescent="0.25">
      <c r="C17" s="132">
        <v>1977019</v>
      </c>
      <c r="D17" s="132">
        <v>551627.22</v>
      </c>
      <c r="E17" s="132">
        <f t="shared" si="0"/>
        <v>1425391.78</v>
      </c>
    </row>
    <row r="18" spans="3:5" x14ac:dyDescent="0.25">
      <c r="C18" s="132">
        <v>1895820</v>
      </c>
      <c r="D18" s="132">
        <v>723972.8</v>
      </c>
      <c r="E18" s="132">
        <f t="shared" si="0"/>
        <v>1171847.2</v>
      </c>
    </row>
    <row r="19" spans="3:5" x14ac:dyDescent="0.25">
      <c r="C19" s="132">
        <v>1987504</v>
      </c>
      <c r="D19" s="132">
        <v>544796.35</v>
      </c>
      <c r="E19" s="132">
        <f t="shared" si="0"/>
        <v>1442707.65</v>
      </c>
    </row>
    <row r="20" spans="3:5" x14ac:dyDescent="0.25">
      <c r="C20" s="132">
        <v>2314653</v>
      </c>
      <c r="D20" s="132">
        <v>694318.53</v>
      </c>
      <c r="E20" s="132">
        <f t="shared" si="0"/>
        <v>1620334.47</v>
      </c>
    </row>
    <row r="21" spans="3:5" x14ac:dyDescent="0.25">
      <c r="C21" s="132">
        <v>1982194</v>
      </c>
      <c r="D21" s="132">
        <v>749060.46</v>
      </c>
      <c r="E21" s="132">
        <f t="shared" si="0"/>
        <v>1233133.54</v>
      </c>
    </row>
    <row r="23" spans="3:5" x14ac:dyDescent="0.25">
      <c r="C23" s="132">
        <f>SUM(C10:C22)</f>
        <v>25266284</v>
      </c>
      <c r="D23" s="132">
        <f>SUM(D10:D22)</f>
        <v>7804803.9399999995</v>
      </c>
      <c r="E23" s="132">
        <f>SUM(E10:E22)</f>
        <v>17461480.059999999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A4877359F8F740B97913DC49033E40" ma:contentTypeVersion="9" ma:contentTypeDescription="Create a new document." ma:contentTypeScope="" ma:versionID="6aadbaea46c0a5aa5c41ba67f2dd69ad">
  <xsd:schema xmlns:xsd="http://www.w3.org/2001/XMLSchema" xmlns:xs="http://www.w3.org/2001/XMLSchema" xmlns:p="http://schemas.microsoft.com/office/2006/metadata/properties" xmlns:ns2="f6165211-01b1-4b37-b3a5-fa904b991cef" xmlns:ns3="cf16343d-c29f-499c-b9de-442b7c96b416" targetNamespace="http://schemas.microsoft.com/office/2006/metadata/properties" ma:root="true" ma:fieldsID="b09129e7b5a541c22e9af04d1824481b" ns2:_="" ns3:_="">
    <xsd:import namespace="f6165211-01b1-4b37-b3a5-fa904b991cef"/>
    <xsd:import namespace="cf16343d-c29f-499c-b9de-442b7c96b4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165211-01b1-4b37-b3a5-fa904b991c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343d-c29f-499c-b9de-442b7c96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DCA22F-8A9D-491D-A9FF-CE3574658D8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6165211-01b1-4b37-b3a5-fa904b991cef"/>
    <ds:schemaRef ds:uri="cf16343d-c29f-499c-b9de-442b7c96b41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A77DE3B-AFA2-4AB1-9670-F77D19A52D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A00715-DB0A-4EFC-B692-9B14749440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165211-01b1-4b37-b3a5-fa904b991cef"/>
    <ds:schemaRef ds:uri="cf16343d-c29f-499c-b9de-442b7c96b4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TARIFA DAP 2019</vt:lpstr>
      <vt:lpstr>Formato costos</vt:lpstr>
      <vt:lpstr>USUARIOS CFE AGOSTO 2019</vt:lpstr>
      <vt:lpstr>INPC 2017 VS 2018</vt:lpstr>
      <vt:lpstr>Hoja1</vt:lpstr>
      <vt:lpstr>'Formato costos'!Área_de_impresión</vt:lpstr>
      <vt:lpstr>'TARIFA DAP 2019'!Área_de_impresión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Picón Ramírez</dc:creator>
  <cp:lastModifiedBy>TOÑO</cp:lastModifiedBy>
  <cp:lastPrinted>2017-10-16T20:53:06Z</cp:lastPrinted>
  <dcterms:created xsi:type="dcterms:W3CDTF">2017-10-16T18:13:07Z</dcterms:created>
  <dcterms:modified xsi:type="dcterms:W3CDTF">2023-05-26T20:14:31Z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0x01010016A4877359F8F740B97913DC49033E40</vt:lpwstr>
  </property>
</Properties>
</file>